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E:\Pliego Trifario 2021 -2025 ref. 18267\Cargos Equivalentes\"/>
    </mc:Choice>
  </mc:AlternateContent>
  <xr:revisionPtr revIDLastSave="0" documentId="8_{C2BFD20B-A89A-4B36-9A2D-710E2396C6EA}" xr6:coauthVersionLast="47" xr6:coauthVersionMax="47" xr10:uidLastSave="{00000000-0000-0000-0000-000000000000}"/>
  <bookViews>
    <workbookView xWindow="25080" yWindow="-120" windowWidth="29040" windowHeight="15840" tabRatio="893" activeTab="4" xr2:uid="{00000000-000D-0000-FFFF-FFFF00000000}"/>
  </bookViews>
  <sheets>
    <sheet name="Datos fijos AÑO 1" sheetId="18" r:id="rId1"/>
    <sheet name="Datos fijos AÑO 2" sheetId="27" r:id="rId2"/>
    <sheet name="Datos fijos AÑO 3" sheetId="29" r:id="rId3"/>
    <sheet name="Datos fijos AÑO 4" sheetId="31" r:id="rId4"/>
    <sheet name="CUSPT Equivalente - Generadores" sheetId="13" r:id="rId5"/>
    <sheet name="CUSPT AÑO 1 " sheetId="23" r:id="rId6"/>
    <sheet name="CUSPT AÑO 2" sheetId="28" r:id="rId7"/>
    <sheet name="CUSPT AÑO 3" sheetId="30" r:id="rId8"/>
    <sheet name="CUSPT AÑO 4  " sheetId="32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0" localSheetId="4">#REF!</definedName>
    <definedName name="\0">#REF!</definedName>
    <definedName name="\a" localSheetId="4">#REF!</definedName>
    <definedName name="\a">#REF!</definedName>
    <definedName name="\b" localSheetId="4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m">#REF!</definedName>
    <definedName name="\r">#REF!</definedName>
    <definedName name="\w">#REF!</definedName>
    <definedName name="\z">#REF!</definedName>
    <definedName name="____PRO2">#REF!</definedName>
    <definedName name="___PRO2">#REF!</definedName>
    <definedName name="__123Graph_AGrßfico1" hidden="1">'[1]2001-2005-Contraloría'!#REF!</definedName>
    <definedName name="__123Graph_XGrßfico1" hidden="1">'[1]2001-2005-Contraloría'!#REF!</definedName>
    <definedName name="__ABR1">#REF!</definedName>
    <definedName name="__ABR2">#REF!</definedName>
    <definedName name="__AGO1">#REF!</definedName>
    <definedName name="__AGO2">#REF!</definedName>
    <definedName name="__CFP1">#REF!</definedName>
    <definedName name="__COP1">#REF!</definedName>
    <definedName name="__CRM1">#REF!</definedName>
    <definedName name="__CRM2">#REF!</definedName>
    <definedName name="__DIC2">#REF!</definedName>
    <definedName name="__ENE1">#REF!</definedName>
    <definedName name="__ENE2">#REF!</definedName>
    <definedName name="__ERP1">#REF!</definedName>
    <definedName name="__ESP1">#REF!</definedName>
    <definedName name="__FEB1">#REF!</definedName>
    <definedName name="__FEB2">#REF!</definedName>
    <definedName name="__JUL1">#REF!</definedName>
    <definedName name="__JUL2">#REF!</definedName>
    <definedName name="__JUN1">#REF!</definedName>
    <definedName name="__JUN2">#REF!</definedName>
    <definedName name="__MAR1">#REF!</definedName>
    <definedName name="__MAR2">#REF!</definedName>
    <definedName name="__MAY1">#REF!</definedName>
    <definedName name="__MAY2">#REF!</definedName>
    <definedName name="__NOV1">#REF!</definedName>
    <definedName name="__NOV2">#REF!</definedName>
    <definedName name="__OAP1">#REF!</definedName>
    <definedName name="__OCT1">#REF!</definedName>
    <definedName name="__OCT2">#REF!</definedName>
    <definedName name="__PRO1">#REF!</definedName>
    <definedName name="__PRO2">#REF!</definedName>
    <definedName name="__PRO3">#REF!</definedName>
    <definedName name="__PRO4">#REF!</definedName>
    <definedName name="__RFP1">#REF!</definedName>
    <definedName name="__SE1">#REF!</definedName>
    <definedName name="__SE11">#REF!</definedName>
    <definedName name="__SE12">#REF!</definedName>
    <definedName name="__SE13">#REF!</definedName>
    <definedName name="__SE14">#REF!</definedName>
    <definedName name="__SE15">#REF!</definedName>
    <definedName name="__SE16">#REF!</definedName>
    <definedName name="__SE2">#REF!</definedName>
    <definedName name="__SE3">#REF!</definedName>
    <definedName name="__SE4">#REF!</definedName>
    <definedName name="__SE5">#REF!</definedName>
    <definedName name="__SE6">#REF!</definedName>
    <definedName name="__SEP1">#REF!</definedName>
    <definedName name="__SEP2">#REF!</definedName>
    <definedName name="__TST1">#REF!</definedName>
    <definedName name="__TST2">#REF!</definedName>
    <definedName name="__TST3">#REF!</definedName>
    <definedName name="_12__123Graph_XGrßfico_1A" hidden="1">'[1]2001-2005-Contraloría'!#REF!</definedName>
    <definedName name="_123Gph_AGrBfico3A" hidden="1">'[2]2001-2008Contraloría Historico'!#REF!</definedName>
    <definedName name="_123Graph_XGrBfico1B" hidden="1">'[2]2001-2008Contraloría Historico'!#REF!</definedName>
    <definedName name="_123Grph_XGrBfico2A" hidden="1">'[2]2001-2008Contraloría Historico'!#REF!</definedName>
    <definedName name="_123Grph_YGRBfico3" hidden="1">'[2]2001-2008Contraloría Historico'!#REF!</definedName>
    <definedName name="_12Val_" hidden="1">'[3]2001-2012 Contraloría Historico'!#REF!</definedName>
    <definedName name="_2">#REF!</definedName>
    <definedName name="_2__123Graph_AGrßfico_1A" hidden="1">'[1]2001-2005-Contraloría'!#REF!</definedName>
    <definedName name="_321" hidden="1">'[2]2001-2008Contraloría Historico'!#REF!</definedName>
    <definedName name="_3210" hidden="1">'[2]2001-2008Contraloría Historico'!#REF!</definedName>
    <definedName name="_4__123Graph_AGrßfico_1A" hidden="1">'[1]2001-2005-Contraloría'!#REF!</definedName>
    <definedName name="_4__123Graph_XGrßfico_1A" hidden="1">'[1]2001-2005-Contraloría'!#REF!</definedName>
    <definedName name="_43__123Graph_AGrßfico_1A" hidden="1">'[4]2001-2012 Contraloría Historico'!#REF!</definedName>
    <definedName name="_6__123Graph_AGrßfico_1A" hidden="1">'[1]2001-2005-Contraloría'!#REF!</definedName>
    <definedName name="_8__123Graph_XGrßfico_1A" hidden="1">'[1]2001-2005-Contraloría'!#REF!</definedName>
    <definedName name="_86__123Graph_XGrßfico_1A" hidden="1">'[4]2001-2012 Contraloría Historico'!#REF!</definedName>
    <definedName name="_ABR1">#REF!</definedName>
    <definedName name="_ABR2">#REF!</definedName>
    <definedName name="_AGO1">#REF!</definedName>
    <definedName name="_AGO2">#REF!</definedName>
    <definedName name="_CFP1">#REF!</definedName>
    <definedName name="_COP1">#REF!</definedName>
    <definedName name="_CRM1">#REF!</definedName>
    <definedName name="_CRM2">#REF!</definedName>
    <definedName name="_DIC2">#REF!</definedName>
    <definedName name="_ENE1">#REF!</definedName>
    <definedName name="_ENE2">#REF!</definedName>
    <definedName name="_ERP1">#REF!</definedName>
    <definedName name="_ESP1">#REF!</definedName>
    <definedName name="_FEB1">#REF!</definedName>
    <definedName name="_FEB2">#REF!</definedName>
    <definedName name="_Fill" hidden="1">#REF!</definedName>
    <definedName name="_intracorp" hidden="1">'[2]2001-2008Contraloría Historico'!#REF!</definedName>
    <definedName name="_intracorpGraph" hidden="1">'[2]2001-2008Contraloría Historico'!#REF!</definedName>
    <definedName name="_JUL1">#REF!</definedName>
    <definedName name="_JUL2">#REF!</definedName>
    <definedName name="_JUN1">#REF!</definedName>
    <definedName name="_JUN2">#REF!</definedName>
    <definedName name="_MAR1">#REF!</definedName>
    <definedName name="_MAR2">#REF!</definedName>
    <definedName name="_MAY1">#REF!</definedName>
    <definedName name="_MAY2">#REF!</definedName>
    <definedName name="_NOV1">#REF!</definedName>
    <definedName name="_NOV2">#REF!</definedName>
    <definedName name="_OAP1">#REF!</definedName>
    <definedName name="_OCT1">#REF!</definedName>
    <definedName name="_OCT2">#REF!</definedName>
    <definedName name="_PRO1">#REF!</definedName>
    <definedName name="_PRO2">#REF!</definedName>
    <definedName name="_PRO3">#REF!</definedName>
    <definedName name="_PRO4">#REF!</definedName>
    <definedName name="_RFP1">#REF!</definedName>
    <definedName name="_SE1">#REF!</definedName>
    <definedName name="_SE11">#REF!</definedName>
    <definedName name="_SE12">#REF!</definedName>
    <definedName name="_SE13">#REF!</definedName>
    <definedName name="_SE14">#REF!</definedName>
    <definedName name="_SE15">#REF!</definedName>
    <definedName name="_SE16">#REF!</definedName>
    <definedName name="_SE2">#REF!</definedName>
    <definedName name="_SE3">#REF!</definedName>
    <definedName name="_SE4">#REF!</definedName>
    <definedName name="_SE5">#REF!</definedName>
    <definedName name="_SE6">#REF!</definedName>
    <definedName name="_SEP1">#REF!</definedName>
    <definedName name="_SEP2">#REF!</definedName>
    <definedName name="_TST1">#REF!</definedName>
    <definedName name="_TST2">#REF!</definedName>
    <definedName name="_TST3">#REF!</definedName>
    <definedName name="A_IMPRESIÓN_IM">#REF!</definedName>
    <definedName name="Abril">#REF!</definedName>
    <definedName name="ActNetoHidro">'[5]IMPA Indicativo'!#REF!</definedName>
    <definedName name="ACTUAL">#REF!</definedName>
    <definedName name="ANOS">#REF!</definedName>
    <definedName name="ANOSHIS">#REF!</definedName>
    <definedName name="ANOUNO">#REF!</definedName>
    <definedName name="_xlnm.Extract">#REF!</definedName>
    <definedName name="_xlnm.Print_Area" localSheetId="5">'CUSPT AÑO 1 '!$A$1:$M$66</definedName>
    <definedName name="_xlnm.Print_Area" localSheetId="6">'CUSPT AÑO 2'!$A$1:$M$66</definedName>
    <definedName name="_xlnm.Print_Area" localSheetId="7">'CUSPT AÑO 3'!$A$1:$M$66</definedName>
    <definedName name="_xlnm.Print_Area" localSheetId="8">'CUSPT AÑO 4  '!$A$1:$M$66</definedName>
    <definedName name="_xlnm.Print_Area" localSheetId="4">'CUSPT Equivalente - Generadores'!$A$1:$M$26</definedName>
    <definedName name="_xlnm.Print_Area" localSheetId="0">'Datos fijos AÑO 1'!$A$15:$E$119</definedName>
    <definedName name="_xlnm.Print_Area" localSheetId="1">'Datos fijos AÑO 2'!$A$15:$E$101</definedName>
    <definedName name="_xlnm.Print_Area" localSheetId="2">'Datos fijos AÑO 3'!$A$15:$E$104</definedName>
    <definedName name="_xlnm.Print_Area" localSheetId="3">'Datos fijos AÑO 4'!$A$15:$E$104</definedName>
    <definedName name="ASSUMPTIONS" localSheetId="4">#REF!</definedName>
    <definedName name="ASSUMPTIONS">#REF!</definedName>
    <definedName name="b">#REF!</definedName>
    <definedName name="BALANCE_SH" localSheetId="4">#REF!</definedName>
    <definedName name="BALANCE_SH">#REF!</definedName>
    <definedName name="Base_datos_IM">#REF!</definedName>
    <definedName name="_xlnm.Database">#REF!</definedName>
    <definedName name="BASIC_DATA">#REF!</definedName>
    <definedName name="BASICO">#REF!</definedName>
    <definedName name="BLANK">#REF!</definedName>
    <definedName name="Blev">#REF!</definedName>
    <definedName name="Bu">#REF!</definedName>
    <definedName name="CALCULAR">#REF!</definedName>
    <definedName name="CASH_FL">#REF!</definedName>
    <definedName name="CASH_FLOW_RPT">#REF!</definedName>
    <definedName name="CASH_RPT_BR_ROW">#REF!</definedName>
    <definedName name="CASH_RPT_HEADER">#REF!</definedName>
    <definedName name="CASHFLOW">#REF!</definedName>
    <definedName name="CBASE">#REF!</definedName>
    <definedName name="CCC">#REF!</definedName>
    <definedName name="CF_CY">#REF!</definedName>
    <definedName name="CFP">#REF!</definedName>
    <definedName name="CFPC">#REF!</definedName>
    <definedName name="CFPDATA">#REF!</definedName>
    <definedName name="CFPTITLES">#REF!</definedName>
    <definedName name="CFTITLE">#REF!</definedName>
    <definedName name="CFUNIT">#REF!</definedName>
    <definedName name="CHANGES">#REF!</definedName>
    <definedName name="CHECAMAC">#REF!</definedName>
    <definedName name="CHECAOPT">#REF!</definedName>
    <definedName name="CO_CY">#REF!</definedName>
    <definedName name="COLTOTAL">#REF!</definedName>
    <definedName name="COLWIDE">#REF!</definedName>
    <definedName name="CON_ACC_REC">#REF!</definedName>
    <definedName name="CON_ALL_REPORT">#REF!</definedName>
    <definedName name="CON_NETWORTH">#REF!</definedName>
    <definedName name="CON_PAS_COR">#REF!</definedName>
    <definedName name="CON_REPT_FOOTER">#REF!</definedName>
    <definedName name="CON_REPT_HEADER">#REF!</definedName>
    <definedName name="CON_REVENUE">#REF!</definedName>
    <definedName name="CON_RPT_BOR_COL">#REF!</definedName>
    <definedName name="CON_RPT_BOR_ROW">#REF!</definedName>
    <definedName name="CON_VOLUMES">#REF!</definedName>
    <definedName name="CONEX">#REF!</definedName>
    <definedName name="CONSOL_FIXED_AS">#REF!</definedName>
    <definedName name="CONSOL_FUENTE_I">#REF!</definedName>
    <definedName name="CONSOL_RPT">#REF!</definedName>
    <definedName name="CONSOLIDA">#REF!</definedName>
    <definedName name="CONSOLIDATION">#REF!</definedName>
    <definedName name="COP">#REF!</definedName>
    <definedName name="COPDATA">#REF!</definedName>
    <definedName name="COTITLE">#REF!</definedName>
    <definedName name="COUNIT">#REF!</definedName>
    <definedName name="_xlnm.Criteria">#REF!</definedName>
    <definedName name="Criterios_IM">#REF!</definedName>
    <definedName name="CSD">#REF!</definedName>
    <definedName name="CY_DOLAR">#REF!</definedName>
    <definedName name="CY_LOCAL">#REF!</definedName>
    <definedName name="D">#REF!</definedName>
    <definedName name="D1_">#REF!</definedName>
    <definedName name="D2_">#REF!</definedName>
    <definedName name="D3_">#REF!</definedName>
    <definedName name="D4_">#REF!</definedName>
    <definedName name="D5_">#N/A</definedName>
    <definedName name="D6_">#N/A</definedName>
    <definedName name="D7_">#REF!</definedName>
    <definedName name="D8_">#REF!</definedName>
    <definedName name="DATOSE">#REF!</definedName>
    <definedName name="DBHH">#REF!</definedName>
    <definedName name="DBPC">#REF!</definedName>
    <definedName name="DBT">#REF!</definedName>
    <definedName name="DCOL">#REF!</definedName>
    <definedName name="DE">#REF!</definedName>
    <definedName name="DECI">#REF!</definedName>
    <definedName name="DENOMINATION">#REF!</definedName>
    <definedName name="DEPRINT">#REF!</definedName>
    <definedName name="derfgtttttt">[6]Hidrometeorología!$D$14</definedName>
    <definedName name="DEUDA">#REF!</definedName>
    <definedName name="DEUDAL">#REF!</definedName>
    <definedName name="dfres">[6]Hidrometeorología!$D$14</definedName>
    <definedName name="DV">#REF!</definedName>
    <definedName name="ENTRY">#REF!</definedName>
    <definedName name="ER_CY">#REF!</definedName>
    <definedName name="ERHACTUAL">#REF!</definedName>
    <definedName name="ERHDATA10YEARS">#REF!</definedName>
    <definedName name="ERHDATA5">#REF!</definedName>
    <definedName name="ERHTITLES">#REF!</definedName>
    <definedName name="ERP">#REF!</definedName>
    <definedName name="ERP_LAST">#REF!</definedName>
    <definedName name="ERP0">#REF!</definedName>
    <definedName name="ERPC">#REF!</definedName>
    <definedName name="ERPDATA">#REF!</definedName>
    <definedName name="ERPTITLES">#REF!</definedName>
    <definedName name="ERPUNO">#REF!</definedName>
    <definedName name="ERPWP">#REF!</definedName>
    <definedName name="ERTITLE">#REF!</definedName>
    <definedName name="ERUNIT">#REF!</definedName>
    <definedName name="ES_CY">#REF!</definedName>
    <definedName name="ESP">#REF!</definedName>
    <definedName name="ESP_LAST">#REF!</definedName>
    <definedName name="ESP0">#REF!</definedName>
    <definedName name="ESPACTUAL">#REF!</definedName>
    <definedName name="ESPANOL">#REF!</definedName>
    <definedName name="ESPC">#REF!</definedName>
    <definedName name="ESPDATA">#REF!</definedName>
    <definedName name="ESPTITLES">#REF!</definedName>
    <definedName name="ESPUNO">#REF!</definedName>
    <definedName name="ESTITLE">#REF!</definedName>
    <definedName name="ESUNIT">#REF!</definedName>
    <definedName name="EXIT">#REF!</definedName>
    <definedName name="Extracción_IM">#REF!</definedName>
    <definedName name="FACEL">#REF!</definedName>
    <definedName name="FACWA">#REF!</definedName>
    <definedName name="FILE1">#REF!</definedName>
    <definedName name="FILE2">#REF!</definedName>
    <definedName name="FILE3">#REF!</definedName>
    <definedName name="FILE4">#REF!</definedName>
    <definedName name="FILE5">#REF!</definedName>
    <definedName name="FILE6">#REF!</definedName>
    <definedName name="FILE7">#REF!</definedName>
    <definedName name="FILE8">#REF!</definedName>
    <definedName name="FILENAME">#REF!</definedName>
    <definedName name="FILES">#REF!</definedName>
    <definedName name="FILESET_UP">#REF!</definedName>
    <definedName name="FIN">#REF!</definedName>
    <definedName name="FORMAT">#REF!</definedName>
    <definedName name="FRAME">#REF!</definedName>
    <definedName name="FREEZE">#REF!</definedName>
    <definedName name="GHH">#REF!</definedName>
    <definedName name="GINC">#REF!</definedName>
    <definedName name="GINCL">#REF!</definedName>
    <definedName name="GWH">#REF!</definedName>
    <definedName name="HISTORY">#REF!</definedName>
    <definedName name="HOJAT">#REF!</definedName>
    <definedName name="i">#REF!</definedName>
    <definedName name="IMPANO0">#REF!</definedName>
    <definedName name="INCOME_ST">#REF!</definedName>
    <definedName name="INDSAVE">#REF!</definedName>
    <definedName name="INGLES">#REF!</definedName>
    <definedName name="INICIO">#REF!</definedName>
    <definedName name="INSTRUCCONSOL">#REF!</definedName>
    <definedName name="INTRACORPa" hidden="1">'[2]2001-2008Contraloría Historico'!#REF!</definedName>
    <definedName name="ITER">#REF!</definedName>
    <definedName name="J1_">#REF!</definedName>
    <definedName name="J2_">#REF!</definedName>
    <definedName name="J3_">#REF!</definedName>
    <definedName name="J4_">#REF!</definedName>
    <definedName name="J5_">#N/A</definedName>
    <definedName name="J6_">#N/A</definedName>
    <definedName name="J7_">#REF!</definedName>
    <definedName name="J8_">#REF!</definedName>
    <definedName name="JI">#REF!</definedName>
    <definedName name="JKL">#REF!</definedName>
    <definedName name="KKK">#REF!</definedName>
    <definedName name="LANGUAGE">#REF!</definedName>
    <definedName name="LASER">#REF!</definedName>
    <definedName name="LAST_YEAR">#REF!</definedName>
    <definedName name="LEARN">#REF!</definedName>
    <definedName name="LINE_">#REF!</definedName>
    <definedName name="LINES_ML">#REF!</definedName>
    <definedName name="LOGO">#REF!</definedName>
    <definedName name="M1_">#REF!</definedName>
    <definedName name="M2_">#REF!</definedName>
    <definedName name="M3_">#REF!</definedName>
    <definedName name="M4_">#REF!</definedName>
    <definedName name="M5_">#N/A</definedName>
    <definedName name="M6_">#N/A</definedName>
    <definedName name="M7_">#REF!</definedName>
    <definedName name="M8_">#REF!</definedName>
    <definedName name="MAIN">#REF!</definedName>
    <definedName name="MENSAJ">#REF!</definedName>
    <definedName name="MENSAJ1">#REF!</definedName>
    <definedName name="MENSAJE">#REF!</definedName>
    <definedName name="MENSAJE1">#REF!</definedName>
    <definedName name="MESES">#REF!</definedName>
    <definedName name="MESESL">#REF!</definedName>
    <definedName name="MIL">#REF!</definedName>
    <definedName name="MILLON">#REF!</definedName>
    <definedName name="MODINFO">#REF!</definedName>
    <definedName name="MODULES">#REF!</definedName>
    <definedName name="MSGCALC">#REF!</definedName>
    <definedName name="MSGDEBT">#REF!</definedName>
    <definedName name="MSGFILES">#REF!</definedName>
    <definedName name="MSGINVEST">#REF!</definedName>
    <definedName name="MSGNAMES">#REF!</definedName>
    <definedName name="MSGPRINTG">#REF!</definedName>
    <definedName name="MSGTRANSFER">#REF!</definedName>
    <definedName name="MWH">#REF!</definedName>
    <definedName name="NAME">#REF!</definedName>
    <definedName name="NAMES">#REF!</definedName>
    <definedName name="NOPRO">#REF!</definedName>
    <definedName name="OA_CY">#REF!</definedName>
    <definedName name="OAP">#REF!</definedName>
    <definedName name="OAP_LAST">#REF!</definedName>
    <definedName name="OAP0">#REF!</definedName>
    <definedName name="OAPACTUAL">#REF!</definedName>
    <definedName name="OAPC">#REF!</definedName>
    <definedName name="OAPDATA">#REF!</definedName>
    <definedName name="OAPTITLES">#REF!</definedName>
    <definedName name="OAPUNO">#REF!</definedName>
    <definedName name="OATITLE">#REF!</definedName>
    <definedName name="OAUNIT">#REF!</definedName>
    <definedName name="OPCFLAG">#REF!</definedName>
    <definedName name="OPCION">#REF!</definedName>
    <definedName name="OPSELC">#REF!</definedName>
    <definedName name="OUTPUT">#REF!</definedName>
    <definedName name="OUTPUTDE">#REF!</definedName>
    <definedName name="OUTPUTE">#REF!</definedName>
    <definedName name="OUTPUTE_HEADER">#REF!</definedName>
    <definedName name="OUTPUTEBODY">#REF!</definedName>
    <definedName name="OUTPUTECOL">#REF!</definedName>
    <definedName name="OUTPUTEHEAD">#REF!</definedName>
    <definedName name="OUTPUTNOS">#REF!</definedName>
    <definedName name="OUTPUTPR">#REF!</definedName>
    <definedName name="OUTPUTWS">#REF!</definedName>
    <definedName name="PANTALLA">#REF!</definedName>
    <definedName name="PAPEL">#REF!</definedName>
    <definedName name="PFLAG">#REF!</definedName>
    <definedName name="PGIC">#REF!</definedName>
    <definedName name="PIBnuevo15" hidden="1">'[4]2001-2012 Contraloría Historico'!#REF!</definedName>
    <definedName name="PREST">#REF!</definedName>
    <definedName name="PRESTAMO">#REF!</definedName>
    <definedName name="PRESTTOT">#REF!</definedName>
    <definedName name="PRINTER">#REF!</definedName>
    <definedName name="PRO">#REF!</definedName>
    <definedName name="PRODUC2">#REF!</definedName>
    <definedName name="PRODUC3">#REF!</definedName>
    <definedName name="PRODUC4">#REF!</definedName>
    <definedName name="PTOEF">#REF!</definedName>
    <definedName name="PTOER">#REF!</definedName>
    <definedName name="RANGES">#REF!</definedName>
    <definedName name="RATIOS">#REF!</definedName>
    <definedName name="RCC">#REF!</definedName>
    <definedName name="RCCOBR">#REF!</definedName>
    <definedName name="rd">#REF!</definedName>
    <definedName name="rdn" localSheetId="4">[7]Hidrometeorología!$D$14</definedName>
    <definedName name="rdn">[8]Hidrometeorología!$D$14</definedName>
    <definedName name="rdx" localSheetId="4">[7]Hidrometeorología!$D$14</definedName>
    <definedName name="rdx">[8]Hidrometeorología!$D$14</definedName>
    <definedName name="re" localSheetId="4">#REF!</definedName>
    <definedName name="re">#REF!</definedName>
    <definedName name="RENTA" localSheetId="4">#REF!</definedName>
    <definedName name="RENTA">#REF!</definedName>
    <definedName name="RENTAL" localSheetId="4">#REF!</definedName>
    <definedName name="RENTAL">#REF!</definedName>
    <definedName name="REPO">#REF!</definedName>
    <definedName name="REPOCALC">#REF!</definedName>
    <definedName name="REPOPRO">#REF!</definedName>
    <definedName name="REPSUB">#REF!</definedName>
    <definedName name="REPSUBWYS">#REF!</definedName>
    <definedName name="RESUMEN">#REF!</definedName>
    <definedName name="rf">#REF!</definedName>
    <definedName name="RF_CY">#REF!</definedName>
    <definedName name="RFP">#REF!</definedName>
    <definedName name="RFPACTUAL">#REF!</definedName>
    <definedName name="RFPC">#REF!</definedName>
    <definedName name="RFPDATA">#REF!</definedName>
    <definedName name="RFPTITLES">#REF!</definedName>
    <definedName name="RFTITLE">#REF!</definedName>
    <definedName name="RFUNIT">#REF!</definedName>
    <definedName name="rm_rf">#REF!</definedName>
    <definedName name="rp">#REF!</definedName>
    <definedName name="RPTSFOOTER">#REF!</definedName>
    <definedName name="RPTSHEADER">#REF!</definedName>
    <definedName name="rrd" localSheetId="4">[7]IMP!$D$14</definedName>
    <definedName name="rrd">[9]RRT!$D$14</definedName>
    <definedName name="RRT" localSheetId="4">#REF!</definedName>
    <definedName name="RRT">#REF!</definedName>
    <definedName name="RRTg">[10]IPCT!$C$14</definedName>
    <definedName name="S1_">#REF!</definedName>
    <definedName name="S2_">#REF!</definedName>
    <definedName name="S3_">#REF!</definedName>
    <definedName name="S4_">#REF!</definedName>
    <definedName name="S5_">#N/A</definedName>
    <definedName name="S6_">#N/A</definedName>
    <definedName name="S7_">#REF!</definedName>
    <definedName name="S8_">#REF!</definedName>
    <definedName name="SCREEN" localSheetId="4">#REF!</definedName>
    <definedName name="SCREEN">#REF!</definedName>
    <definedName name="Sd" localSheetId="4">#REF!</definedName>
    <definedName name="Sd">#REF!</definedName>
    <definedName name="SE0">#REF!</definedName>
    <definedName name="SENOP">#REF!</definedName>
    <definedName name="SENPRI">#REF!</definedName>
    <definedName name="SENSITIVITY">#REF!</definedName>
    <definedName name="SENSTA">#REF!</definedName>
    <definedName name="SENT">#REF!</definedName>
    <definedName name="SENUNI">#REF!</definedName>
    <definedName name="SER">#REF!</definedName>
    <definedName name="SOURCE_APPL">#REF!</definedName>
    <definedName name="ss">#REF!</definedName>
    <definedName name="STAMP">#REF!</definedName>
    <definedName name="START">#REF!</definedName>
    <definedName name="SUMARIA">#REF!</definedName>
    <definedName name="SUPUESTOS">#REF!</definedName>
    <definedName name="t">#REF!</definedName>
    <definedName name="TASA">#REF!</definedName>
    <definedName name="TASAI">#REF!</definedName>
    <definedName name="TASATOT">#REF!</definedName>
    <definedName name="TEXTO">#REF!</definedName>
    <definedName name="TIPO">#REF!</definedName>
    <definedName name="TITLE">#REF!</definedName>
    <definedName name="TITLEENG">#REF!</definedName>
    <definedName name="TITLES">#REF!</definedName>
    <definedName name="TITLESPAN">#REF!</definedName>
    <definedName name="TODO">#REF!</definedName>
    <definedName name="TRAF">#REF!</definedName>
    <definedName name="tret" hidden="1">'[2]2001-2008Contraloría Historico'!#REF!</definedName>
    <definedName name="TSFR1">#REF!</definedName>
    <definedName name="TSFR2">#REF!</definedName>
    <definedName name="TSFR3">#REF!</definedName>
    <definedName name="UNDERLINE">#REF!</definedName>
    <definedName name="UNFREEZE">#REF!</definedName>
    <definedName name="UNITS">#REF!</definedName>
    <definedName name="VNR_Lineas">[5]VNR!$Q$59</definedName>
    <definedName name="VNR_Lineas_Conexión">[5]VNR!$Q$69</definedName>
    <definedName name="VNR_Subestaciones_Conexión">[5]VNR!$G$48</definedName>
    <definedName name="VNR_Subestaciones_Estrategicas">[5]VNR!$F$38</definedName>
    <definedName name="VNR_Subestaciones_SPT">[5]VNR!$F$32</definedName>
    <definedName name="vvvv">[11]IMP!$D$14</definedName>
    <definedName name="WACCna">#REF!</definedName>
    <definedName name="WACCnd">#REF!</definedName>
    <definedName name="WACCr">#REF!</definedName>
    <definedName name="WACCra">#REF!</definedName>
    <definedName name="WH">#REF!</definedName>
    <definedName name="WHC">#REF!</definedName>
    <definedName name="WHCO">#REF!</definedName>
    <definedName name="WHCR">#REF!</definedName>
    <definedName name="WHCS">#REF!</definedName>
    <definedName name="WHG">#REF!</definedName>
    <definedName name="WHH">#REF!</definedName>
    <definedName name="WORKSHEET">#REF!</definedName>
    <definedName name="WP">#REF!</definedName>
    <definedName name="WPC">#REF!</definedName>
    <definedName name="WPG">#REF!</definedName>
    <definedName name="WPH">#REF!</definedName>
    <definedName name="WSANO0PR">#REF!</definedName>
    <definedName name="WSANO0S">#REF!</definedName>
    <definedName name="WSGRID">#REF!</definedName>
    <definedName name="WSGRID0">#REF!</definedName>
    <definedName name="WSGRID10">#REF!</definedName>
    <definedName name="WSPRINT">#REF!</definedName>
    <definedName name="XX">[12]IMP!$D$10</definedName>
    <definedName name="xxx">[7]Hidrometeorología!$D$14</definedName>
    <definedName name="XXXX">[7]Hidrometeorología!$D$14</definedName>
    <definedName name="xxxxxx" hidden="1">#REF!</definedName>
    <definedName name="xxxxxxxxxxxxxxxxxxxx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3" l="1"/>
  <c r="C22" i="13"/>
  <c r="K83" i="31"/>
  <c r="K75" i="31"/>
  <c r="K71" i="31"/>
  <c r="K52" i="31"/>
  <c r="K45" i="31"/>
  <c r="K35" i="31"/>
  <c r="K28" i="31"/>
  <c r="K24" i="31"/>
  <c r="K22" i="31"/>
  <c r="K17" i="31"/>
  <c r="K83" i="29"/>
  <c r="K75" i="29"/>
  <c r="K71" i="29"/>
  <c r="K52" i="29"/>
  <c r="K45" i="29"/>
  <c r="K35" i="29"/>
  <c r="K28" i="29"/>
  <c r="K24" i="29"/>
  <c r="K22" i="29"/>
  <c r="K17" i="29"/>
  <c r="K83" i="27"/>
  <c r="K75" i="27"/>
  <c r="K71" i="27"/>
  <c r="K52" i="27"/>
  <c r="K45" i="27"/>
  <c r="K35" i="27"/>
  <c r="K28" i="27"/>
  <c r="K24" i="27"/>
  <c r="K22" i="27"/>
  <c r="K17" i="27"/>
  <c r="R76" i="18" l="1"/>
  <c r="S76" i="18"/>
  <c r="K20" i="32" l="1"/>
  <c r="J20" i="32"/>
  <c r="I20" i="32"/>
  <c r="H20" i="32"/>
  <c r="G20" i="32"/>
  <c r="F20" i="32"/>
  <c r="E20" i="32"/>
  <c r="D20" i="32"/>
  <c r="C20" i="32"/>
  <c r="B20" i="32"/>
  <c r="K19" i="32"/>
  <c r="J19" i="32"/>
  <c r="I19" i="32"/>
  <c r="H19" i="32"/>
  <c r="G19" i="32"/>
  <c r="F19" i="32"/>
  <c r="E19" i="32"/>
  <c r="D19" i="32"/>
  <c r="C19" i="32"/>
  <c r="B19" i="32"/>
  <c r="G7" i="32"/>
  <c r="F7" i="32"/>
  <c r="E7" i="32"/>
  <c r="D7" i="32"/>
  <c r="C7" i="32"/>
  <c r="B7" i="32"/>
  <c r="F5" i="32"/>
  <c r="D5" i="32"/>
  <c r="B5" i="32"/>
  <c r="F4" i="32"/>
  <c r="D4" i="32"/>
  <c r="B4" i="32"/>
  <c r="D3" i="32"/>
  <c r="B3" i="32"/>
  <c r="C1" i="32"/>
  <c r="B1" i="32"/>
  <c r="M86" i="31"/>
  <c r="L86" i="31"/>
  <c r="M85" i="31"/>
  <c r="L85" i="31"/>
  <c r="M81" i="31"/>
  <c r="L81" i="31"/>
  <c r="M80" i="31"/>
  <c r="L80" i="31"/>
  <c r="M79" i="31"/>
  <c r="L79" i="31"/>
  <c r="M77" i="31"/>
  <c r="L77" i="31"/>
  <c r="M73" i="31"/>
  <c r="L73" i="31"/>
  <c r="M69" i="31"/>
  <c r="L69" i="31"/>
  <c r="M68" i="31"/>
  <c r="L68" i="31"/>
  <c r="M67" i="31"/>
  <c r="L67" i="31"/>
  <c r="M66" i="31"/>
  <c r="L66" i="31"/>
  <c r="M65" i="31"/>
  <c r="L65" i="31"/>
  <c r="M63" i="31"/>
  <c r="L63" i="31"/>
  <c r="M61" i="31"/>
  <c r="L61" i="31"/>
  <c r="M60" i="31"/>
  <c r="L60" i="31"/>
  <c r="M59" i="31"/>
  <c r="L59" i="31"/>
  <c r="M58" i="31"/>
  <c r="L58" i="31"/>
  <c r="M56" i="31"/>
  <c r="L56" i="31"/>
  <c r="M55" i="31"/>
  <c r="L55" i="31"/>
  <c r="M54" i="31"/>
  <c r="L54" i="31"/>
  <c r="M50" i="31"/>
  <c r="L50" i="31"/>
  <c r="M49" i="31"/>
  <c r="L49" i="31"/>
  <c r="M47" i="31"/>
  <c r="L47" i="31"/>
  <c r="M43" i="31"/>
  <c r="L43" i="31"/>
  <c r="M41" i="31"/>
  <c r="L41" i="31"/>
  <c r="M40" i="31"/>
  <c r="L40" i="31"/>
  <c r="M38" i="31"/>
  <c r="L38" i="31"/>
  <c r="M37" i="31"/>
  <c r="L37" i="31"/>
  <c r="M33" i="31"/>
  <c r="L33" i="31"/>
  <c r="M32" i="31"/>
  <c r="L32" i="31"/>
  <c r="M31" i="31"/>
  <c r="L31" i="31"/>
  <c r="M30" i="31"/>
  <c r="L30" i="31"/>
  <c r="M26" i="31"/>
  <c r="L26" i="31"/>
  <c r="M20" i="31"/>
  <c r="L20" i="31"/>
  <c r="M19" i="31"/>
  <c r="L19" i="31"/>
  <c r="M7" i="31"/>
  <c r="M6" i="31"/>
  <c r="D7" i="31"/>
  <c r="D5" i="31"/>
  <c r="D4" i="31"/>
  <c r="M14" i="32"/>
  <c r="M13" i="32"/>
  <c r="G62" i="32"/>
  <c r="K61" i="32"/>
  <c r="J61" i="32"/>
  <c r="I61" i="32"/>
  <c r="H61" i="32"/>
  <c r="G61" i="32"/>
  <c r="F61" i="32"/>
  <c r="E61" i="32"/>
  <c r="D61" i="32"/>
  <c r="C61" i="32"/>
  <c r="B61" i="32"/>
  <c r="K60" i="32"/>
  <c r="J60" i="32"/>
  <c r="I60" i="32"/>
  <c r="H60" i="32"/>
  <c r="G60" i="32"/>
  <c r="F60" i="32"/>
  <c r="E60" i="32"/>
  <c r="D60" i="32"/>
  <c r="C60" i="32"/>
  <c r="B60" i="32"/>
  <c r="K58" i="32"/>
  <c r="J58" i="32"/>
  <c r="I58" i="32"/>
  <c r="H58" i="32"/>
  <c r="G58" i="32"/>
  <c r="F58" i="32"/>
  <c r="E58" i="32"/>
  <c r="D58" i="32"/>
  <c r="C58" i="32"/>
  <c r="B58" i="32"/>
  <c r="K57" i="32"/>
  <c r="J57" i="32"/>
  <c r="I57" i="32"/>
  <c r="H57" i="32"/>
  <c r="G57" i="32"/>
  <c r="F57" i="32"/>
  <c r="E57" i="32"/>
  <c r="D57" i="32"/>
  <c r="C57" i="32"/>
  <c r="B57" i="32"/>
  <c r="K55" i="32"/>
  <c r="J55" i="32"/>
  <c r="I55" i="32"/>
  <c r="H55" i="32"/>
  <c r="G55" i="32"/>
  <c r="F55" i="32"/>
  <c r="E55" i="32"/>
  <c r="D55" i="32"/>
  <c r="C55" i="32"/>
  <c r="B55" i="32"/>
  <c r="K54" i="32"/>
  <c r="J54" i="32"/>
  <c r="I54" i="32"/>
  <c r="H54" i="32"/>
  <c r="G54" i="32"/>
  <c r="F54" i="32"/>
  <c r="E54" i="32"/>
  <c r="D54" i="32"/>
  <c r="C54" i="32"/>
  <c r="B54" i="32"/>
  <c r="B40" i="32"/>
  <c r="B36" i="32"/>
  <c r="B35" i="32"/>
  <c r="B33" i="32"/>
  <c r="B32" i="32"/>
  <c r="K26" i="32"/>
  <c r="J26" i="32"/>
  <c r="I26" i="32"/>
  <c r="H26" i="32"/>
  <c r="G26" i="32"/>
  <c r="F26" i="32"/>
  <c r="E26" i="32"/>
  <c r="D26" i="32"/>
  <c r="C26" i="32"/>
  <c r="B26" i="32"/>
  <c r="K25" i="32"/>
  <c r="J25" i="32"/>
  <c r="I25" i="32"/>
  <c r="H25" i="32"/>
  <c r="G25" i="32"/>
  <c r="F25" i="32"/>
  <c r="E25" i="32"/>
  <c r="D25" i="32"/>
  <c r="C25" i="32"/>
  <c r="B25" i="32"/>
  <c r="L14" i="32"/>
  <c r="L13" i="32"/>
  <c r="K14" i="32"/>
  <c r="K13" i="32"/>
  <c r="J14" i="32"/>
  <c r="J13" i="32"/>
  <c r="I14" i="32"/>
  <c r="I13" i="32"/>
  <c r="H14" i="32"/>
  <c r="H13" i="32"/>
  <c r="G14" i="32"/>
  <c r="G13" i="32"/>
  <c r="F14" i="32"/>
  <c r="F13" i="32"/>
  <c r="E14" i="32"/>
  <c r="E13" i="32"/>
  <c r="D14" i="32"/>
  <c r="D13" i="32"/>
  <c r="C14" i="32"/>
  <c r="C13" i="32"/>
  <c r="B14" i="32"/>
  <c r="B13" i="32"/>
  <c r="C58" i="30"/>
  <c r="F54" i="30"/>
  <c r="J58" i="30"/>
  <c r="D61" i="28"/>
  <c r="H61" i="28"/>
  <c r="E55" i="28"/>
  <c r="M13" i="28"/>
  <c r="D13" i="28"/>
  <c r="G62" i="28"/>
  <c r="K61" i="28"/>
  <c r="J61" i="28"/>
  <c r="I61" i="28"/>
  <c r="G61" i="28"/>
  <c r="F61" i="28"/>
  <c r="C61" i="28"/>
  <c r="B61" i="28"/>
  <c r="K60" i="28"/>
  <c r="I60" i="28"/>
  <c r="H60" i="28"/>
  <c r="G60" i="28"/>
  <c r="F60" i="28"/>
  <c r="E60" i="28"/>
  <c r="D60" i="28"/>
  <c r="C60" i="28"/>
  <c r="B60" i="28"/>
  <c r="K58" i="28"/>
  <c r="J58" i="28"/>
  <c r="I58" i="28"/>
  <c r="H58" i="28"/>
  <c r="G58" i="28"/>
  <c r="F58" i="28"/>
  <c r="D58" i="28"/>
  <c r="C58" i="28"/>
  <c r="B58" i="28"/>
  <c r="J57" i="28"/>
  <c r="I57" i="28"/>
  <c r="H57" i="28"/>
  <c r="G57" i="28"/>
  <c r="F57" i="28"/>
  <c r="E57" i="28"/>
  <c r="D57" i="28"/>
  <c r="C57" i="28"/>
  <c r="B57" i="28"/>
  <c r="I55" i="28"/>
  <c r="H55" i="28"/>
  <c r="F55" i="28"/>
  <c r="D55" i="28"/>
  <c r="C55" i="28"/>
  <c r="K54" i="28"/>
  <c r="J54" i="28"/>
  <c r="H54" i="28"/>
  <c r="F54" i="28"/>
  <c r="E54" i="28"/>
  <c r="D54" i="28"/>
  <c r="C54" i="28"/>
  <c r="B40" i="28"/>
  <c r="B36" i="28"/>
  <c r="B35" i="28"/>
  <c r="B32" i="28"/>
  <c r="K26" i="28"/>
  <c r="J26" i="28"/>
  <c r="I26" i="28"/>
  <c r="H26" i="28"/>
  <c r="G26" i="28"/>
  <c r="F26" i="28"/>
  <c r="E26" i="28"/>
  <c r="C26" i="28"/>
  <c r="B26" i="28"/>
  <c r="K25" i="28"/>
  <c r="J25" i="28"/>
  <c r="I25" i="28"/>
  <c r="H25" i="28"/>
  <c r="G25" i="28"/>
  <c r="F25" i="28"/>
  <c r="E25" i="28"/>
  <c r="C25" i="28"/>
  <c r="B25" i="28"/>
  <c r="M6" i="18"/>
  <c r="K14" i="30"/>
  <c r="K13" i="30"/>
  <c r="G62" i="30"/>
  <c r="K61" i="30"/>
  <c r="J61" i="30"/>
  <c r="I61" i="30"/>
  <c r="H61" i="30"/>
  <c r="G61" i="30"/>
  <c r="F61" i="30"/>
  <c r="D61" i="30"/>
  <c r="C61" i="30"/>
  <c r="B61" i="30"/>
  <c r="K60" i="30"/>
  <c r="J60" i="30"/>
  <c r="I60" i="30"/>
  <c r="H60" i="30"/>
  <c r="G60" i="30"/>
  <c r="F60" i="30"/>
  <c r="E60" i="30"/>
  <c r="D60" i="30"/>
  <c r="C60" i="30"/>
  <c r="B60" i="30"/>
  <c r="K58" i="30"/>
  <c r="I58" i="30"/>
  <c r="H58" i="30"/>
  <c r="G58" i="30"/>
  <c r="F58" i="30"/>
  <c r="D58" i="30"/>
  <c r="B58" i="30"/>
  <c r="J57" i="30"/>
  <c r="I57" i="30"/>
  <c r="H57" i="30"/>
  <c r="G57" i="30"/>
  <c r="F57" i="30"/>
  <c r="E57" i="30"/>
  <c r="D57" i="30"/>
  <c r="C57" i="30"/>
  <c r="K55" i="30"/>
  <c r="J55" i="30"/>
  <c r="I55" i="30"/>
  <c r="H55" i="30"/>
  <c r="G55" i="30"/>
  <c r="F55" i="30"/>
  <c r="E55" i="30"/>
  <c r="D55" i="30"/>
  <c r="C55" i="30"/>
  <c r="B55" i="30"/>
  <c r="K54" i="30"/>
  <c r="J54" i="30"/>
  <c r="I54" i="30"/>
  <c r="H54" i="30"/>
  <c r="G54" i="30"/>
  <c r="E54" i="30"/>
  <c r="D54" i="30"/>
  <c r="B54" i="30"/>
  <c r="B36" i="30"/>
  <c r="B35" i="30"/>
  <c r="B33" i="30"/>
  <c r="B32" i="30"/>
  <c r="K26" i="30"/>
  <c r="J26" i="30"/>
  <c r="I26" i="30"/>
  <c r="H26" i="30"/>
  <c r="E26" i="30"/>
  <c r="D26" i="30"/>
  <c r="C26" i="30"/>
  <c r="B26" i="30"/>
  <c r="K25" i="30"/>
  <c r="J25" i="30"/>
  <c r="I25" i="30"/>
  <c r="H25" i="30"/>
  <c r="G25" i="30"/>
  <c r="F25" i="30"/>
  <c r="E25" i="30"/>
  <c r="D25" i="30"/>
  <c r="C25" i="30"/>
  <c r="B25" i="30"/>
  <c r="B7" i="23"/>
  <c r="B7" i="18" s="1"/>
  <c r="B3" i="23"/>
  <c r="B3" i="18" s="1"/>
  <c r="M14" i="23"/>
  <c r="M13" i="23"/>
  <c r="L14" i="23"/>
  <c r="L13" i="23"/>
  <c r="K14" i="23"/>
  <c r="K13" i="23"/>
  <c r="J14" i="23"/>
  <c r="J13" i="23"/>
  <c r="I14" i="23"/>
  <c r="I13" i="23"/>
  <c r="H14" i="23"/>
  <c r="H13" i="23"/>
  <c r="G14" i="23"/>
  <c r="G13" i="23"/>
  <c r="F14" i="23"/>
  <c r="F13" i="23"/>
  <c r="E14" i="23"/>
  <c r="E13" i="23"/>
  <c r="D14" i="23"/>
  <c r="D13" i="23"/>
  <c r="C14" i="23"/>
  <c r="C13" i="23"/>
  <c r="G62" i="23"/>
  <c r="K61" i="23"/>
  <c r="J61" i="23"/>
  <c r="I61" i="23"/>
  <c r="H61" i="23"/>
  <c r="G61" i="23"/>
  <c r="F61" i="23"/>
  <c r="E61" i="23"/>
  <c r="D61" i="23"/>
  <c r="C61" i="23"/>
  <c r="B61" i="23"/>
  <c r="K60" i="23"/>
  <c r="J60" i="23"/>
  <c r="I60" i="23"/>
  <c r="H60" i="23"/>
  <c r="G60" i="23"/>
  <c r="F60" i="23"/>
  <c r="E60" i="23"/>
  <c r="D60" i="23"/>
  <c r="C60" i="23"/>
  <c r="B60" i="23"/>
  <c r="K58" i="23"/>
  <c r="J58" i="23"/>
  <c r="I58" i="23"/>
  <c r="H58" i="23"/>
  <c r="G58" i="23"/>
  <c r="F58" i="23"/>
  <c r="E58" i="23"/>
  <c r="D58" i="23"/>
  <c r="C58" i="23"/>
  <c r="B58" i="23"/>
  <c r="K57" i="23"/>
  <c r="J57" i="23"/>
  <c r="I57" i="23"/>
  <c r="H57" i="23"/>
  <c r="G57" i="23"/>
  <c r="F57" i="23"/>
  <c r="E57" i="23"/>
  <c r="D57" i="23"/>
  <c r="C57" i="23"/>
  <c r="B57" i="23"/>
  <c r="K55" i="23"/>
  <c r="J55" i="23"/>
  <c r="I55" i="23"/>
  <c r="H55" i="23"/>
  <c r="G55" i="23"/>
  <c r="F55" i="23"/>
  <c r="E55" i="23"/>
  <c r="D55" i="23"/>
  <c r="C55" i="23"/>
  <c r="B55" i="23"/>
  <c r="K54" i="23"/>
  <c r="J54" i="23"/>
  <c r="I54" i="23"/>
  <c r="H54" i="23"/>
  <c r="G54" i="23"/>
  <c r="F54" i="23"/>
  <c r="E54" i="23"/>
  <c r="D54" i="23"/>
  <c r="C54" i="23"/>
  <c r="B54" i="23"/>
  <c r="B40" i="23"/>
  <c r="B36" i="23"/>
  <c r="B35" i="23"/>
  <c r="B33" i="23"/>
  <c r="B32" i="23"/>
  <c r="K26" i="23"/>
  <c r="J26" i="23"/>
  <c r="I26" i="23"/>
  <c r="H26" i="23"/>
  <c r="G26" i="23"/>
  <c r="F26" i="23"/>
  <c r="E26" i="23"/>
  <c r="D26" i="23"/>
  <c r="C26" i="23"/>
  <c r="B26" i="23"/>
  <c r="K25" i="23"/>
  <c r="J25" i="23"/>
  <c r="I25" i="23"/>
  <c r="H25" i="23"/>
  <c r="G25" i="23"/>
  <c r="F25" i="23"/>
  <c r="E25" i="23"/>
  <c r="D25" i="23"/>
  <c r="C25" i="23"/>
  <c r="B25" i="23"/>
  <c r="B14" i="23"/>
  <c r="B13" i="23"/>
  <c r="L54" i="32" l="1"/>
  <c r="B57" i="30"/>
  <c r="F26" i="30"/>
  <c r="K57" i="30"/>
  <c r="L57" i="30" s="1"/>
  <c r="E61" i="30"/>
  <c r="G26" i="30"/>
  <c r="L26" i="30" s="1"/>
  <c r="B40" i="30"/>
  <c r="B48" i="30" s="1"/>
  <c r="C54" i="30"/>
  <c r="C44" i="30" s="1"/>
  <c r="E58" i="30"/>
  <c r="K14" i="28"/>
  <c r="M14" i="28"/>
  <c r="D14" i="28"/>
  <c r="G54" i="28"/>
  <c r="K57" i="28"/>
  <c r="L8" i="13" s="1"/>
  <c r="E61" i="28"/>
  <c r="L61" i="28" s="1"/>
  <c r="I54" i="28"/>
  <c r="G55" i="28"/>
  <c r="G66" i="28" s="1"/>
  <c r="B54" i="28"/>
  <c r="J60" i="28"/>
  <c r="E58" i="28"/>
  <c r="D25" i="28"/>
  <c r="B55" i="28"/>
  <c r="J55" i="28"/>
  <c r="J45" i="28" s="1"/>
  <c r="D26" i="28"/>
  <c r="D45" i="28" s="1"/>
  <c r="K55" i="28"/>
  <c r="B33" i="28"/>
  <c r="D10" i="13"/>
  <c r="F10" i="13"/>
  <c r="G10" i="13"/>
  <c r="H10" i="13"/>
  <c r="I10" i="13"/>
  <c r="J10" i="13"/>
  <c r="K10" i="13"/>
  <c r="L10" i="13"/>
  <c r="C10" i="13"/>
  <c r="E9" i="13"/>
  <c r="F9" i="13"/>
  <c r="G9" i="13"/>
  <c r="H9" i="13"/>
  <c r="I9" i="13"/>
  <c r="J9" i="13"/>
  <c r="K9" i="13"/>
  <c r="C9" i="13"/>
  <c r="D8" i="13"/>
  <c r="E8" i="13"/>
  <c r="F8" i="13"/>
  <c r="G8" i="13"/>
  <c r="H8" i="13"/>
  <c r="I8" i="13"/>
  <c r="K8" i="13"/>
  <c r="C8" i="13"/>
  <c r="L61" i="32"/>
  <c r="L60" i="32"/>
  <c r="L58" i="32"/>
  <c r="L57" i="32"/>
  <c r="K66" i="32"/>
  <c r="J66" i="32"/>
  <c r="I66" i="32"/>
  <c r="H66" i="32"/>
  <c r="G66" i="32"/>
  <c r="F66" i="32"/>
  <c r="E45" i="32"/>
  <c r="D45" i="32"/>
  <c r="C66" i="32"/>
  <c r="B45" i="32"/>
  <c r="K65" i="32"/>
  <c r="J65" i="32"/>
  <c r="I65" i="32"/>
  <c r="H44" i="32"/>
  <c r="G44" i="32"/>
  <c r="F44" i="32"/>
  <c r="E44" i="32"/>
  <c r="D44" i="32"/>
  <c r="C65" i="32"/>
  <c r="K44" i="32"/>
  <c r="I44" i="32"/>
  <c r="B48" i="32"/>
  <c r="B47" i="32"/>
  <c r="K45" i="32"/>
  <c r="J45" i="32"/>
  <c r="I45" i="32"/>
  <c r="H45" i="32"/>
  <c r="G45" i="32"/>
  <c r="F45" i="32"/>
  <c r="C45" i="32"/>
  <c r="L26" i="32"/>
  <c r="J44" i="32"/>
  <c r="C44" i="32"/>
  <c r="L25" i="32"/>
  <c r="L20" i="32"/>
  <c r="L19" i="32"/>
  <c r="M12" i="32"/>
  <c r="L12" i="32"/>
  <c r="K12" i="32"/>
  <c r="J12" i="32"/>
  <c r="I12" i="32"/>
  <c r="H12" i="32"/>
  <c r="G12" i="32"/>
  <c r="F12" i="32"/>
  <c r="E12" i="32"/>
  <c r="D12" i="32"/>
  <c r="C12" i="32"/>
  <c r="B12" i="32"/>
  <c r="E5" i="32"/>
  <c r="E4" i="32"/>
  <c r="J4" i="32"/>
  <c r="N3" i="31"/>
  <c r="B4" i="31"/>
  <c r="D3" i="31"/>
  <c r="E3" i="31" s="1"/>
  <c r="N4" i="31"/>
  <c r="C5" i="31"/>
  <c r="C3" i="31" s="1"/>
  <c r="F7" i="31"/>
  <c r="M12" i="31"/>
  <c r="D17" i="31"/>
  <c r="C17" i="13" s="1"/>
  <c r="F18" i="31"/>
  <c r="G18" i="31"/>
  <c r="F19" i="31"/>
  <c r="G19" i="31"/>
  <c r="F20" i="31"/>
  <c r="G20" i="31"/>
  <c r="F21" i="31"/>
  <c r="G21" i="31"/>
  <c r="F22" i="31"/>
  <c r="G22" i="31"/>
  <c r="F23" i="31"/>
  <c r="G23" i="31"/>
  <c r="F24" i="31"/>
  <c r="G24" i="31"/>
  <c r="F25" i="31"/>
  <c r="G25" i="31"/>
  <c r="F26" i="31"/>
  <c r="G26" i="31"/>
  <c r="F27" i="31"/>
  <c r="G27" i="31"/>
  <c r="F28" i="31"/>
  <c r="G28" i="31"/>
  <c r="F29" i="31"/>
  <c r="G29" i="31"/>
  <c r="F30" i="31"/>
  <c r="G30" i="31"/>
  <c r="F31" i="31"/>
  <c r="G31" i="31"/>
  <c r="F32" i="31"/>
  <c r="G32" i="31"/>
  <c r="F33" i="31"/>
  <c r="G33" i="31"/>
  <c r="G34" i="31"/>
  <c r="G35" i="31"/>
  <c r="F36" i="31"/>
  <c r="G36" i="31"/>
  <c r="D37" i="31"/>
  <c r="D17" i="13" s="1"/>
  <c r="F37" i="31"/>
  <c r="G37" i="31"/>
  <c r="F38" i="31"/>
  <c r="G38" i="31"/>
  <c r="F39" i="31"/>
  <c r="G39" i="31"/>
  <c r="F40" i="31"/>
  <c r="G40" i="31"/>
  <c r="F41" i="31"/>
  <c r="G41" i="31"/>
  <c r="F42" i="31"/>
  <c r="G42" i="31"/>
  <c r="F43" i="31"/>
  <c r="G43" i="31"/>
  <c r="F44" i="31"/>
  <c r="G44" i="31"/>
  <c r="D45" i="31"/>
  <c r="E17" i="13" s="1"/>
  <c r="F45" i="31"/>
  <c r="G45" i="31"/>
  <c r="F46" i="31"/>
  <c r="G46" i="31"/>
  <c r="F47" i="31"/>
  <c r="G47" i="31"/>
  <c r="F48" i="31"/>
  <c r="G48" i="31"/>
  <c r="F49" i="31"/>
  <c r="G49" i="31"/>
  <c r="F50" i="31"/>
  <c r="G50" i="31"/>
  <c r="F51" i="31"/>
  <c r="G51" i="31"/>
  <c r="F52" i="31"/>
  <c r="G52" i="31"/>
  <c r="D53" i="31"/>
  <c r="F17" i="13" s="1"/>
  <c r="F53" i="31"/>
  <c r="G53" i="31"/>
  <c r="F54" i="31"/>
  <c r="G54" i="31"/>
  <c r="F55" i="31"/>
  <c r="G55" i="31"/>
  <c r="F56" i="31"/>
  <c r="G56" i="31"/>
  <c r="F57" i="31"/>
  <c r="G57" i="31"/>
  <c r="F58" i="31"/>
  <c r="G58" i="31"/>
  <c r="F59" i="31"/>
  <c r="G59" i="31"/>
  <c r="F60" i="31"/>
  <c r="G60" i="31"/>
  <c r="F61" i="31"/>
  <c r="G61" i="31"/>
  <c r="F62" i="31"/>
  <c r="G62" i="31"/>
  <c r="F63" i="31"/>
  <c r="G63" i="31"/>
  <c r="F64" i="31"/>
  <c r="G64" i="31"/>
  <c r="F65" i="31"/>
  <c r="G65" i="31"/>
  <c r="O65" i="31"/>
  <c r="F66" i="31"/>
  <c r="G66" i="31"/>
  <c r="F67" i="31"/>
  <c r="G67" i="31"/>
  <c r="F68" i="31"/>
  <c r="G68" i="31"/>
  <c r="F69" i="31"/>
  <c r="G69" i="31"/>
  <c r="F70" i="31"/>
  <c r="G70" i="31"/>
  <c r="F71" i="31"/>
  <c r="G71" i="31"/>
  <c r="F72" i="31"/>
  <c r="G72" i="31"/>
  <c r="F73" i="31"/>
  <c r="G73" i="31"/>
  <c r="F74" i="31"/>
  <c r="G74" i="31"/>
  <c r="F75" i="31"/>
  <c r="G75" i="31"/>
  <c r="F76" i="31"/>
  <c r="G76" i="31"/>
  <c r="F77" i="31"/>
  <c r="G77" i="31"/>
  <c r="F78" i="31"/>
  <c r="G78" i="31"/>
  <c r="F79" i="31"/>
  <c r="G79" i="31"/>
  <c r="F80" i="31"/>
  <c r="G80" i="31"/>
  <c r="F81" i="31"/>
  <c r="G81" i="31"/>
  <c r="F82" i="31"/>
  <c r="G82" i="31"/>
  <c r="F83" i="31"/>
  <c r="G83" i="31"/>
  <c r="F84" i="31"/>
  <c r="G84" i="31"/>
  <c r="F85" i="31"/>
  <c r="G85" i="31"/>
  <c r="F86" i="31"/>
  <c r="G86" i="31"/>
  <c r="F87" i="31"/>
  <c r="G87" i="31"/>
  <c r="F88" i="31"/>
  <c r="G88" i="31"/>
  <c r="F89" i="31"/>
  <c r="G89" i="31"/>
  <c r="F90" i="31"/>
  <c r="G90" i="31"/>
  <c r="F91" i="31"/>
  <c r="G91" i="31"/>
  <c r="F92" i="31"/>
  <c r="G92" i="31"/>
  <c r="F93" i="31"/>
  <c r="G93" i="31"/>
  <c r="F94" i="31"/>
  <c r="G94" i="31"/>
  <c r="F95" i="31"/>
  <c r="G95" i="31"/>
  <c r="F96" i="31"/>
  <c r="G96" i="31"/>
  <c r="F97" i="31"/>
  <c r="G97" i="31"/>
  <c r="F98" i="31"/>
  <c r="G98" i="31"/>
  <c r="F99" i="31"/>
  <c r="G99" i="31"/>
  <c r="F100" i="31"/>
  <c r="G100" i="31"/>
  <c r="F101" i="31"/>
  <c r="G101" i="31"/>
  <c r="F102" i="31"/>
  <c r="G102" i="31"/>
  <c r="F103" i="31"/>
  <c r="G103" i="31"/>
  <c r="F104" i="31"/>
  <c r="G104" i="31"/>
  <c r="F105" i="31"/>
  <c r="G105" i="31"/>
  <c r="F106" i="31"/>
  <c r="G106" i="31"/>
  <c r="F107" i="31"/>
  <c r="G107" i="31"/>
  <c r="F108" i="31"/>
  <c r="G108" i="31"/>
  <c r="F109" i="31"/>
  <c r="G109" i="31"/>
  <c r="F110" i="31"/>
  <c r="G110" i="31"/>
  <c r="F111" i="31"/>
  <c r="G111" i="31"/>
  <c r="F112" i="31"/>
  <c r="G112" i="31"/>
  <c r="F113" i="31"/>
  <c r="G113" i="31"/>
  <c r="F114" i="31"/>
  <c r="G114" i="31"/>
  <c r="F115" i="31"/>
  <c r="G115" i="31"/>
  <c r="F116" i="31"/>
  <c r="G116" i="31"/>
  <c r="F117" i="31"/>
  <c r="G117" i="31"/>
  <c r="F118" i="31"/>
  <c r="G118" i="31"/>
  <c r="F119" i="31"/>
  <c r="G119" i="31"/>
  <c r="F120" i="31"/>
  <c r="G120" i="31"/>
  <c r="F121" i="31"/>
  <c r="G121" i="31"/>
  <c r="F122" i="31"/>
  <c r="G122" i="31"/>
  <c r="F123" i="31"/>
  <c r="G123" i="31"/>
  <c r="F124" i="31"/>
  <c r="G124" i="31"/>
  <c r="F125" i="31"/>
  <c r="G125" i="31"/>
  <c r="F126" i="31"/>
  <c r="G126" i="31"/>
  <c r="F127" i="31"/>
  <c r="G127" i="31"/>
  <c r="F128" i="31"/>
  <c r="G128" i="31"/>
  <c r="F129" i="31"/>
  <c r="G129" i="31"/>
  <c r="F130" i="31"/>
  <c r="G130" i="31"/>
  <c r="F131" i="31"/>
  <c r="G131" i="31"/>
  <c r="F132" i="31"/>
  <c r="G132" i="31"/>
  <c r="F133" i="31"/>
  <c r="G133" i="31"/>
  <c r="F134" i="31"/>
  <c r="G134" i="31"/>
  <c r="F135" i="31"/>
  <c r="G135" i="31"/>
  <c r="F136" i="31"/>
  <c r="G136" i="31"/>
  <c r="F137" i="31"/>
  <c r="G137" i="31"/>
  <c r="F138" i="31"/>
  <c r="G138" i="31"/>
  <c r="F139" i="31"/>
  <c r="G139" i="31"/>
  <c r="D140" i="31"/>
  <c r="H17" i="13" s="1"/>
  <c r="F140" i="31"/>
  <c r="G140" i="31"/>
  <c r="F141" i="31"/>
  <c r="G141" i="31"/>
  <c r="F142" i="31"/>
  <c r="G142" i="31"/>
  <c r="F143" i="31"/>
  <c r="G143" i="31"/>
  <c r="F144" i="31"/>
  <c r="G144" i="31"/>
  <c r="F145" i="31"/>
  <c r="G145" i="31"/>
  <c r="F146" i="31"/>
  <c r="G146" i="31"/>
  <c r="D147" i="31"/>
  <c r="I17" i="13" s="1"/>
  <c r="F147" i="31"/>
  <c r="G147" i="31"/>
  <c r="F148" i="31"/>
  <c r="G148" i="31"/>
  <c r="F149" i="31"/>
  <c r="G149" i="31"/>
  <c r="F150" i="31"/>
  <c r="G150" i="31"/>
  <c r="F151" i="31"/>
  <c r="G151" i="31"/>
  <c r="F152" i="31"/>
  <c r="G152" i="31"/>
  <c r="F153" i="31"/>
  <c r="G153" i="31"/>
  <c r="D154" i="31"/>
  <c r="J17" i="13" s="1"/>
  <c r="F154" i="31"/>
  <c r="G154" i="31"/>
  <c r="F155" i="31"/>
  <c r="G155" i="31"/>
  <c r="F156" i="31"/>
  <c r="G156" i="31"/>
  <c r="D157" i="31"/>
  <c r="K17" i="13" s="1"/>
  <c r="F157" i="31"/>
  <c r="G157" i="31"/>
  <c r="F158" i="31"/>
  <c r="G158" i="31"/>
  <c r="F159" i="31"/>
  <c r="G159" i="31"/>
  <c r="F160" i="31"/>
  <c r="G160" i="31"/>
  <c r="F161" i="31"/>
  <c r="G161" i="31"/>
  <c r="F162" i="31"/>
  <c r="G162" i="31"/>
  <c r="F163" i="31"/>
  <c r="G163" i="31"/>
  <c r="F164" i="31"/>
  <c r="G164" i="31"/>
  <c r="F165" i="31"/>
  <c r="G165" i="31"/>
  <c r="D166" i="31"/>
  <c r="L17" i="13" s="1"/>
  <c r="F166" i="31"/>
  <c r="G166" i="31"/>
  <c r="F167" i="31"/>
  <c r="G167" i="31"/>
  <c r="F168" i="31"/>
  <c r="G168" i="31"/>
  <c r="L61" i="30"/>
  <c r="L60" i="30"/>
  <c r="L58" i="30"/>
  <c r="K66" i="30"/>
  <c r="J66" i="30"/>
  <c r="I66" i="30"/>
  <c r="H45" i="30"/>
  <c r="G66" i="30"/>
  <c r="F66" i="30"/>
  <c r="E66" i="30"/>
  <c r="D66" i="30"/>
  <c r="C45" i="30"/>
  <c r="L55" i="30"/>
  <c r="J65" i="30"/>
  <c r="I65" i="30"/>
  <c r="H65" i="30"/>
  <c r="G44" i="30"/>
  <c r="F44" i="30"/>
  <c r="E44" i="30"/>
  <c r="D44" i="30"/>
  <c r="M51" i="30"/>
  <c r="J44" i="30"/>
  <c r="I44" i="30"/>
  <c r="B47" i="30"/>
  <c r="K45" i="30"/>
  <c r="J45" i="30"/>
  <c r="I45" i="30"/>
  <c r="F45" i="30"/>
  <c r="E45" i="30"/>
  <c r="D45" i="30"/>
  <c r="K44" i="30"/>
  <c r="H44" i="30"/>
  <c r="L25" i="30"/>
  <c r="K20" i="30"/>
  <c r="J20" i="30"/>
  <c r="I20" i="30"/>
  <c r="H20" i="30"/>
  <c r="G20" i="30"/>
  <c r="F20" i="30"/>
  <c r="E20" i="30"/>
  <c r="D20" i="30"/>
  <c r="C20" i="30"/>
  <c r="B20" i="30"/>
  <c r="L20" i="30" s="1"/>
  <c r="K19" i="30"/>
  <c r="J19" i="30"/>
  <c r="I19" i="30"/>
  <c r="H19" i="30"/>
  <c r="G19" i="30"/>
  <c r="F19" i="30"/>
  <c r="E19" i="30"/>
  <c r="D19" i="30"/>
  <c r="C19" i="30"/>
  <c r="B19" i="30"/>
  <c r="L19" i="30" s="1"/>
  <c r="M12" i="30"/>
  <c r="L12" i="30"/>
  <c r="K12" i="30"/>
  <c r="J12" i="30"/>
  <c r="I12" i="30"/>
  <c r="H12" i="30"/>
  <c r="G12" i="30"/>
  <c r="F12" i="30"/>
  <c r="E12" i="30"/>
  <c r="D12" i="30"/>
  <c r="C12" i="30"/>
  <c r="B12" i="30"/>
  <c r="G7" i="30"/>
  <c r="F7" i="30"/>
  <c r="E7" i="30"/>
  <c r="D7" i="30"/>
  <c r="C7" i="30"/>
  <c r="B7" i="30"/>
  <c r="F5" i="30"/>
  <c r="D5" i="30"/>
  <c r="B5" i="30"/>
  <c r="C5" i="30" s="1"/>
  <c r="F4" i="30"/>
  <c r="D4" i="30"/>
  <c r="B4" i="30"/>
  <c r="C4" i="30" s="1"/>
  <c r="J3" i="30"/>
  <c r="D3" i="30"/>
  <c r="E5" i="30" s="1"/>
  <c r="B3" i="30"/>
  <c r="J4" i="30" s="1"/>
  <c r="C1" i="30"/>
  <c r="B1" i="30"/>
  <c r="G168" i="29"/>
  <c r="F168" i="29"/>
  <c r="G167" i="29"/>
  <c r="F167" i="29"/>
  <c r="G166" i="29"/>
  <c r="F166" i="29"/>
  <c r="D166" i="29"/>
  <c r="L16" i="13" s="1"/>
  <c r="G165" i="29"/>
  <c r="F165" i="29"/>
  <c r="G164" i="29"/>
  <c r="F164" i="29"/>
  <c r="G163" i="29"/>
  <c r="F163" i="29"/>
  <c r="G162" i="29"/>
  <c r="F162" i="29"/>
  <c r="G161" i="29"/>
  <c r="F161" i="29"/>
  <c r="G160" i="29"/>
  <c r="F160" i="29"/>
  <c r="G159" i="29"/>
  <c r="F159" i="29"/>
  <c r="G158" i="29"/>
  <c r="F158" i="29"/>
  <c r="G157" i="29"/>
  <c r="F157" i="29"/>
  <c r="D157" i="29"/>
  <c r="K16" i="13" s="1"/>
  <c r="G156" i="29"/>
  <c r="F156" i="29"/>
  <c r="G155" i="29"/>
  <c r="F155" i="29"/>
  <c r="G154" i="29"/>
  <c r="F154" i="29"/>
  <c r="D154" i="29"/>
  <c r="J16" i="13" s="1"/>
  <c r="G153" i="29"/>
  <c r="F153" i="29"/>
  <c r="G152" i="29"/>
  <c r="F152" i="29"/>
  <c r="G151" i="29"/>
  <c r="F151" i="29"/>
  <c r="G150" i="29"/>
  <c r="F150" i="29"/>
  <c r="G149" i="29"/>
  <c r="F149" i="29"/>
  <c r="G148" i="29"/>
  <c r="F148" i="29"/>
  <c r="G147" i="29"/>
  <c r="F147" i="29"/>
  <c r="D147" i="29"/>
  <c r="I16" i="13" s="1"/>
  <c r="G146" i="29"/>
  <c r="F146" i="29"/>
  <c r="G145" i="29"/>
  <c r="F145" i="29"/>
  <c r="G144" i="29"/>
  <c r="F144" i="29"/>
  <c r="G143" i="29"/>
  <c r="F143" i="29"/>
  <c r="G142" i="29"/>
  <c r="F142" i="29"/>
  <c r="G141" i="29"/>
  <c r="F141" i="29"/>
  <c r="G140" i="29"/>
  <c r="F140" i="29"/>
  <c r="D140" i="29"/>
  <c r="H16" i="13" s="1"/>
  <c r="G139" i="29"/>
  <c r="F139" i="29"/>
  <c r="G138" i="29"/>
  <c r="F138" i="29"/>
  <c r="G137" i="29"/>
  <c r="F137" i="29"/>
  <c r="G136" i="29"/>
  <c r="F136" i="29"/>
  <c r="G135" i="29"/>
  <c r="F135" i="29"/>
  <c r="G134" i="29"/>
  <c r="F134" i="29"/>
  <c r="G133" i="29"/>
  <c r="F133" i="29"/>
  <c r="G132" i="29"/>
  <c r="F132" i="29"/>
  <c r="G131" i="29"/>
  <c r="F131" i="29"/>
  <c r="G130" i="29"/>
  <c r="F130" i="29"/>
  <c r="G129" i="29"/>
  <c r="F129" i="29"/>
  <c r="G128" i="29"/>
  <c r="F128" i="29"/>
  <c r="G127" i="29"/>
  <c r="F127" i="29"/>
  <c r="G126" i="29"/>
  <c r="F126" i="29"/>
  <c r="G125" i="29"/>
  <c r="F125" i="29"/>
  <c r="G124" i="29"/>
  <c r="F124" i="29"/>
  <c r="G123" i="29"/>
  <c r="F123" i="29"/>
  <c r="G122" i="29"/>
  <c r="F122" i="29"/>
  <c r="G121" i="29"/>
  <c r="F121" i="29"/>
  <c r="G120" i="29"/>
  <c r="F120" i="29"/>
  <c r="G119" i="29"/>
  <c r="F119" i="29"/>
  <c r="G118" i="29"/>
  <c r="F118" i="29"/>
  <c r="G117" i="29"/>
  <c r="F117" i="29"/>
  <c r="G116" i="29"/>
  <c r="F116" i="29"/>
  <c r="G115" i="29"/>
  <c r="F115" i="29"/>
  <c r="G114" i="29"/>
  <c r="F114" i="29"/>
  <c r="G113" i="29"/>
  <c r="F113" i="29"/>
  <c r="G112" i="29"/>
  <c r="F112" i="29"/>
  <c r="G111" i="29"/>
  <c r="F111" i="29"/>
  <c r="G110" i="29"/>
  <c r="F110" i="29"/>
  <c r="G109" i="29"/>
  <c r="F109" i="29"/>
  <c r="G108" i="29"/>
  <c r="F108" i="29"/>
  <c r="G107" i="29"/>
  <c r="F107" i="29"/>
  <c r="G106" i="29"/>
  <c r="F106" i="29"/>
  <c r="G105" i="29"/>
  <c r="F105" i="29"/>
  <c r="G104" i="29"/>
  <c r="F104" i="29"/>
  <c r="G103" i="29"/>
  <c r="F103" i="29"/>
  <c r="G102" i="29"/>
  <c r="F102" i="29"/>
  <c r="G101" i="29"/>
  <c r="F101" i="29"/>
  <c r="G100" i="29"/>
  <c r="F100" i="29"/>
  <c r="G99" i="29"/>
  <c r="F99" i="29"/>
  <c r="G98" i="29"/>
  <c r="F98" i="29"/>
  <c r="G97" i="29"/>
  <c r="F97" i="29"/>
  <c r="G96" i="29"/>
  <c r="F96" i="29"/>
  <c r="G95" i="29"/>
  <c r="F95" i="29"/>
  <c r="G94" i="29"/>
  <c r="F94" i="29"/>
  <c r="G93" i="29"/>
  <c r="F93" i="29"/>
  <c r="G92" i="29"/>
  <c r="F92" i="29"/>
  <c r="G91" i="29"/>
  <c r="F91" i="29"/>
  <c r="G90" i="29"/>
  <c r="F90" i="29"/>
  <c r="G89" i="29"/>
  <c r="F89" i="29"/>
  <c r="G88" i="29"/>
  <c r="F88" i="29"/>
  <c r="G87" i="29"/>
  <c r="F87" i="29"/>
  <c r="M86" i="29"/>
  <c r="L86" i="29"/>
  <c r="G86" i="29"/>
  <c r="F86" i="29"/>
  <c r="M85" i="29"/>
  <c r="L85" i="29"/>
  <c r="G85" i="29"/>
  <c r="F85" i="29"/>
  <c r="G84" i="29"/>
  <c r="F84" i="29"/>
  <c r="G83" i="29"/>
  <c r="F83" i="29"/>
  <c r="G82" i="29"/>
  <c r="F82" i="29"/>
  <c r="M81" i="29"/>
  <c r="L81" i="29"/>
  <c r="G81" i="29"/>
  <c r="F81" i="29"/>
  <c r="M80" i="29"/>
  <c r="L80" i="29"/>
  <c r="G80" i="29"/>
  <c r="F80" i="29"/>
  <c r="M79" i="29"/>
  <c r="L79" i="29"/>
  <c r="G79" i="29"/>
  <c r="F79" i="29"/>
  <c r="G78" i="29"/>
  <c r="F78" i="29"/>
  <c r="M77" i="29"/>
  <c r="L77" i="29"/>
  <c r="G77" i="29"/>
  <c r="F77" i="29"/>
  <c r="G76" i="29"/>
  <c r="F76" i="29"/>
  <c r="G75" i="29"/>
  <c r="F75" i="29"/>
  <c r="G74" i="29"/>
  <c r="F74" i="29"/>
  <c r="M73" i="29"/>
  <c r="L73" i="29"/>
  <c r="G73" i="29"/>
  <c r="F73" i="29"/>
  <c r="G72" i="29"/>
  <c r="F72" i="29"/>
  <c r="G71" i="29"/>
  <c r="F71" i="29"/>
  <c r="G70" i="29"/>
  <c r="F70" i="29"/>
  <c r="M69" i="29"/>
  <c r="L69" i="29"/>
  <c r="G69" i="29"/>
  <c r="F69" i="29"/>
  <c r="M68" i="29"/>
  <c r="L68" i="29"/>
  <c r="G68" i="29"/>
  <c r="F68" i="29"/>
  <c r="M67" i="29"/>
  <c r="L67" i="29"/>
  <c r="G67" i="29"/>
  <c r="F67" i="29"/>
  <c r="M66" i="29"/>
  <c r="L66" i="29"/>
  <c r="G66" i="29"/>
  <c r="F66" i="29"/>
  <c r="M65" i="29"/>
  <c r="L65" i="29"/>
  <c r="G65" i="29"/>
  <c r="F65" i="29"/>
  <c r="O64" i="29"/>
  <c r="G64" i="29"/>
  <c r="F64" i="29"/>
  <c r="O63" i="29"/>
  <c r="M63" i="29"/>
  <c r="L63" i="29"/>
  <c r="G63" i="29"/>
  <c r="F63" i="29"/>
  <c r="G62" i="29"/>
  <c r="F62" i="29"/>
  <c r="M61" i="29"/>
  <c r="L61" i="29"/>
  <c r="G61" i="29"/>
  <c r="F61" i="29"/>
  <c r="M60" i="29"/>
  <c r="L60" i="29"/>
  <c r="G60" i="29"/>
  <c r="F60" i="29"/>
  <c r="M59" i="29"/>
  <c r="L59" i="29"/>
  <c r="G59" i="29"/>
  <c r="F59" i="29"/>
  <c r="M58" i="29"/>
  <c r="L58" i="29"/>
  <c r="G58" i="29"/>
  <c r="F58" i="29"/>
  <c r="G57" i="29"/>
  <c r="F57" i="29"/>
  <c r="M56" i="29"/>
  <c r="L56" i="29"/>
  <c r="G56" i="29"/>
  <c r="F56" i="29"/>
  <c r="M55" i="29"/>
  <c r="L55" i="29"/>
  <c r="G55" i="29"/>
  <c r="F55" i="29"/>
  <c r="M54" i="29"/>
  <c r="L54" i="29"/>
  <c r="G54" i="29"/>
  <c r="F54" i="29"/>
  <c r="G53" i="29"/>
  <c r="F53" i="29"/>
  <c r="D53" i="29"/>
  <c r="F16" i="13" s="1"/>
  <c r="G52" i="29"/>
  <c r="F52" i="29"/>
  <c r="G51" i="29"/>
  <c r="F51" i="29"/>
  <c r="M50" i="29"/>
  <c r="L50" i="29"/>
  <c r="G50" i="29"/>
  <c r="F50" i="29"/>
  <c r="M49" i="29"/>
  <c r="L49" i="29"/>
  <c r="G49" i="29"/>
  <c r="F49" i="29"/>
  <c r="G48" i="29"/>
  <c r="F48" i="29"/>
  <c r="M47" i="29"/>
  <c r="L47" i="29"/>
  <c r="G47" i="29"/>
  <c r="F47" i="29"/>
  <c r="G46" i="29"/>
  <c r="F46" i="29"/>
  <c r="G45" i="29"/>
  <c r="F45" i="29"/>
  <c r="D45" i="29"/>
  <c r="E16" i="13" s="1"/>
  <c r="G44" i="29"/>
  <c r="F44" i="29"/>
  <c r="M43" i="29"/>
  <c r="L43" i="29"/>
  <c r="G43" i="29"/>
  <c r="F43" i="29"/>
  <c r="G42" i="29"/>
  <c r="F42" i="29"/>
  <c r="M41" i="29"/>
  <c r="L41" i="29"/>
  <c r="G41" i="29"/>
  <c r="F41" i="29"/>
  <c r="M40" i="29"/>
  <c r="L40" i="29"/>
  <c r="G40" i="29"/>
  <c r="F40" i="29"/>
  <c r="G39" i="29"/>
  <c r="F39" i="29"/>
  <c r="M38" i="29"/>
  <c r="L38" i="29"/>
  <c r="G38" i="29"/>
  <c r="F38" i="29"/>
  <c r="M37" i="29"/>
  <c r="L37" i="29"/>
  <c r="G37" i="29"/>
  <c r="F37" i="29"/>
  <c r="D37" i="29"/>
  <c r="D16" i="13" s="1"/>
  <c r="G36" i="29"/>
  <c r="F36" i="29"/>
  <c r="G35" i="29"/>
  <c r="G34" i="29"/>
  <c r="M33" i="29"/>
  <c r="L33" i="29"/>
  <c r="G33" i="29"/>
  <c r="F33" i="29"/>
  <c r="M32" i="29"/>
  <c r="L32" i="29"/>
  <c r="G32" i="29"/>
  <c r="F32" i="29"/>
  <c r="M31" i="29"/>
  <c r="L31" i="29"/>
  <c r="G31" i="29"/>
  <c r="F31" i="29"/>
  <c r="M30" i="29"/>
  <c r="L30" i="29"/>
  <c r="G30" i="29"/>
  <c r="F30" i="29"/>
  <c r="G29" i="29"/>
  <c r="F29" i="29"/>
  <c r="G28" i="29"/>
  <c r="F28" i="29"/>
  <c r="G27" i="29"/>
  <c r="F27" i="29"/>
  <c r="M26" i="29"/>
  <c r="L26" i="29"/>
  <c r="G26" i="29"/>
  <c r="F26" i="29"/>
  <c r="G25" i="29"/>
  <c r="F25" i="29"/>
  <c r="G24" i="29"/>
  <c r="F24" i="29"/>
  <c r="G23" i="29"/>
  <c r="F23" i="29"/>
  <c r="G22" i="29"/>
  <c r="F22" i="29"/>
  <c r="G21" i="29"/>
  <c r="F21" i="29"/>
  <c r="M20" i="29"/>
  <c r="L20" i="29"/>
  <c r="G20" i="29"/>
  <c r="F20" i="29"/>
  <c r="M19" i="29"/>
  <c r="L19" i="29"/>
  <c r="G19" i="29"/>
  <c r="F19" i="29"/>
  <c r="G18" i="29"/>
  <c r="F18" i="29"/>
  <c r="D17" i="29"/>
  <c r="C16" i="13" s="1"/>
  <c r="M12" i="29"/>
  <c r="M7" i="29"/>
  <c r="D7" i="29"/>
  <c r="F7" i="29" s="1"/>
  <c r="M6" i="29"/>
  <c r="D5" i="29"/>
  <c r="C5" i="29"/>
  <c r="C3" i="29" s="1"/>
  <c r="N4" i="29"/>
  <c r="D4" i="29"/>
  <c r="F4" i="29" s="1"/>
  <c r="B4" i="29"/>
  <c r="N3" i="29"/>
  <c r="L58" i="28"/>
  <c r="L57" i="28"/>
  <c r="K66" i="28"/>
  <c r="I66" i="28"/>
  <c r="H66" i="28"/>
  <c r="F66" i="28"/>
  <c r="C66" i="28"/>
  <c r="J65" i="28"/>
  <c r="H65" i="28"/>
  <c r="G44" i="28"/>
  <c r="F44" i="28"/>
  <c r="E44" i="28"/>
  <c r="D44" i="28"/>
  <c r="C44" i="28"/>
  <c r="K44" i="28"/>
  <c r="B48" i="28"/>
  <c r="B47" i="28"/>
  <c r="K45" i="28"/>
  <c r="I45" i="28"/>
  <c r="H45" i="28"/>
  <c r="F45" i="28"/>
  <c r="E45" i="28"/>
  <c r="C45" i="28"/>
  <c r="J44" i="28"/>
  <c r="H44" i="28"/>
  <c r="L25" i="28"/>
  <c r="K20" i="28"/>
  <c r="J20" i="28"/>
  <c r="I20" i="28"/>
  <c r="H20" i="28"/>
  <c r="G20" i="28"/>
  <c r="F20" i="28"/>
  <c r="E20" i="28"/>
  <c r="D20" i="28"/>
  <c r="C20" i="28"/>
  <c r="B20" i="28"/>
  <c r="K19" i="28"/>
  <c r="J19" i="28"/>
  <c r="I19" i="28"/>
  <c r="H19" i="28"/>
  <c r="G19" i="28"/>
  <c r="F19" i="28"/>
  <c r="E19" i="28"/>
  <c r="D19" i="28"/>
  <c r="C19" i="28"/>
  <c r="B19" i="28"/>
  <c r="M12" i="28"/>
  <c r="L12" i="28"/>
  <c r="K12" i="28"/>
  <c r="J12" i="28"/>
  <c r="I12" i="28"/>
  <c r="H12" i="28"/>
  <c r="G12" i="28"/>
  <c r="F12" i="28"/>
  <c r="E12" i="28"/>
  <c r="D12" i="28"/>
  <c r="C12" i="28"/>
  <c r="B12" i="28"/>
  <c r="G7" i="28"/>
  <c r="F7" i="28"/>
  <c r="E7" i="28"/>
  <c r="D7" i="28"/>
  <c r="C7" i="28"/>
  <c r="B7" i="28"/>
  <c r="F5" i="28"/>
  <c r="D5" i="28"/>
  <c r="B5" i="28"/>
  <c r="F4" i="28"/>
  <c r="D4" i="28"/>
  <c r="E4" i="28" s="1"/>
  <c r="B4" i="28"/>
  <c r="D3" i="28"/>
  <c r="B3" i="28"/>
  <c r="J4" i="28" s="1"/>
  <c r="C1" i="28"/>
  <c r="B1" i="28"/>
  <c r="G168" i="27"/>
  <c r="F168" i="27"/>
  <c r="G167" i="27"/>
  <c r="F167" i="27"/>
  <c r="G166" i="27"/>
  <c r="F166" i="27"/>
  <c r="D166" i="27"/>
  <c r="L15" i="13" s="1"/>
  <c r="G165" i="27"/>
  <c r="F165" i="27"/>
  <c r="G164" i="27"/>
  <c r="F164" i="27"/>
  <c r="G163" i="27"/>
  <c r="F163" i="27"/>
  <c r="G162" i="27"/>
  <c r="F162" i="27"/>
  <c r="G161" i="27"/>
  <c r="F161" i="27"/>
  <c r="G160" i="27"/>
  <c r="F160" i="27"/>
  <c r="G159" i="27"/>
  <c r="F159" i="27"/>
  <c r="G158" i="27"/>
  <c r="F158" i="27"/>
  <c r="G157" i="27"/>
  <c r="F157" i="27"/>
  <c r="D157" i="27"/>
  <c r="K15" i="13" s="1"/>
  <c r="G156" i="27"/>
  <c r="F156" i="27"/>
  <c r="G155" i="27"/>
  <c r="F155" i="27"/>
  <c r="G154" i="27"/>
  <c r="F154" i="27"/>
  <c r="D154" i="27"/>
  <c r="J15" i="13" s="1"/>
  <c r="G153" i="27"/>
  <c r="F153" i="27"/>
  <c r="G152" i="27"/>
  <c r="F152" i="27"/>
  <c r="G151" i="27"/>
  <c r="F151" i="27"/>
  <c r="G150" i="27"/>
  <c r="F150" i="27"/>
  <c r="G149" i="27"/>
  <c r="F149" i="27"/>
  <c r="G148" i="27"/>
  <c r="F148" i="27"/>
  <c r="G147" i="27"/>
  <c r="F147" i="27"/>
  <c r="D147" i="27"/>
  <c r="I15" i="13" s="1"/>
  <c r="G146" i="27"/>
  <c r="F146" i="27"/>
  <c r="G145" i="27"/>
  <c r="F145" i="27"/>
  <c r="G144" i="27"/>
  <c r="F144" i="27"/>
  <c r="G143" i="27"/>
  <c r="F143" i="27"/>
  <c r="G142" i="27"/>
  <c r="F142" i="27"/>
  <c r="G141" i="27"/>
  <c r="F141" i="27"/>
  <c r="G140" i="27"/>
  <c r="F140" i="27"/>
  <c r="D140" i="27"/>
  <c r="H15" i="13" s="1"/>
  <c r="G139" i="27"/>
  <c r="F139" i="27"/>
  <c r="G138" i="27"/>
  <c r="F138" i="27"/>
  <c r="G137" i="27"/>
  <c r="F137" i="27"/>
  <c r="G136" i="27"/>
  <c r="F136" i="27"/>
  <c r="G135" i="27"/>
  <c r="F135" i="27"/>
  <c r="G134" i="27"/>
  <c r="F134" i="27"/>
  <c r="G133" i="27"/>
  <c r="F133" i="27"/>
  <c r="G132" i="27"/>
  <c r="F132" i="27"/>
  <c r="G131" i="27"/>
  <c r="F131" i="27"/>
  <c r="G130" i="27"/>
  <c r="F130" i="27"/>
  <c r="G129" i="27"/>
  <c r="F129" i="27"/>
  <c r="G128" i="27"/>
  <c r="F128" i="27"/>
  <c r="G127" i="27"/>
  <c r="F127" i="27"/>
  <c r="G126" i="27"/>
  <c r="F126" i="27"/>
  <c r="G125" i="27"/>
  <c r="F125" i="27"/>
  <c r="G124" i="27"/>
  <c r="F124" i="27"/>
  <c r="G123" i="27"/>
  <c r="F123" i="27"/>
  <c r="G122" i="27"/>
  <c r="F122" i="27"/>
  <c r="G121" i="27"/>
  <c r="F121" i="27"/>
  <c r="G120" i="27"/>
  <c r="F120" i="27"/>
  <c r="G119" i="27"/>
  <c r="F119" i="27"/>
  <c r="G118" i="27"/>
  <c r="F118" i="27"/>
  <c r="G117" i="27"/>
  <c r="F117" i="27"/>
  <c r="G116" i="27"/>
  <c r="F116" i="27"/>
  <c r="G115" i="27"/>
  <c r="F115" i="27"/>
  <c r="G114" i="27"/>
  <c r="F114" i="27"/>
  <c r="G113" i="27"/>
  <c r="F113" i="27"/>
  <c r="G112" i="27"/>
  <c r="F112" i="27"/>
  <c r="G111" i="27"/>
  <c r="F111" i="27"/>
  <c r="G110" i="27"/>
  <c r="F110" i="27"/>
  <c r="G109" i="27"/>
  <c r="F109" i="27"/>
  <c r="G108" i="27"/>
  <c r="F108" i="27"/>
  <c r="G107" i="27"/>
  <c r="F107" i="27"/>
  <c r="G106" i="27"/>
  <c r="F106" i="27"/>
  <c r="G105" i="27"/>
  <c r="F105" i="27"/>
  <c r="G104" i="27"/>
  <c r="F104" i="27"/>
  <c r="G103" i="27"/>
  <c r="F103" i="27"/>
  <c r="G102" i="27"/>
  <c r="F102" i="27"/>
  <c r="G101" i="27"/>
  <c r="F101" i="27"/>
  <c r="G100" i="27"/>
  <c r="F100" i="27"/>
  <c r="G99" i="27"/>
  <c r="F99" i="27"/>
  <c r="G98" i="27"/>
  <c r="F98" i="27"/>
  <c r="G97" i="27"/>
  <c r="F97" i="27"/>
  <c r="G96" i="27"/>
  <c r="F96" i="27"/>
  <c r="G95" i="27"/>
  <c r="F95" i="27"/>
  <c r="G94" i="27"/>
  <c r="F94" i="27"/>
  <c r="G93" i="27"/>
  <c r="F93" i="27"/>
  <c r="G92" i="27"/>
  <c r="F92" i="27"/>
  <c r="G91" i="27"/>
  <c r="F91" i="27"/>
  <c r="G90" i="27"/>
  <c r="F90" i="27"/>
  <c r="G89" i="27"/>
  <c r="F89" i="27"/>
  <c r="G88" i="27"/>
  <c r="F88" i="27"/>
  <c r="G87" i="27"/>
  <c r="F87" i="27"/>
  <c r="M86" i="27"/>
  <c r="L86" i="27"/>
  <c r="G86" i="27"/>
  <c r="F86" i="27"/>
  <c r="M85" i="27"/>
  <c r="L85" i="27"/>
  <c r="G85" i="27"/>
  <c r="F85" i="27"/>
  <c r="G84" i="27"/>
  <c r="F84" i="27"/>
  <c r="G83" i="27"/>
  <c r="F83" i="27"/>
  <c r="G82" i="27"/>
  <c r="F82" i="27"/>
  <c r="M81" i="27"/>
  <c r="L81" i="27"/>
  <c r="G81" i="27"/>
  <c r="F81" i="27"/>
  <c r="M80" i="27"/>
  <c r="L80" i="27"/>
  <c r="G80" i="27"/>
  <c r="F80" i="27"/>
  <c r="M79" i="27"/>
  <c r="L79" i="27"/>
  <c r="G79" i="27"/>
  <c r="F79" i="27"/>
  <c r="G78" i="27"/>
  <c r="F78" i="27"/>
  <c r="M77" i="27"/>
  <c r="L77" i="27"/>
  <c r="G77" i="27"/>
  <c r="F77" i="27"/>
  <c r="G76" i="27"/>
  <c r="F76" i="27"/>
  <c r="G75" i="27"/>
  <c r="F75" i="27"/>
  <c r="G74" i="27"/>
  <c r="F74" i="27"/>
  <c r="M73" i="27"/>
  <c r="L73" i="27"/>
  <c r="G73" i="27"/>
  <c r="F73" i="27"/>
  <c r="G72" i="27"/>
  <c r="F72" i="27"/>
  <c r="G71" i="27"/>
  <c r="F71" i="27"/>
  <c r="G70" i="27"/>
  <c r="F70" i="27"/>
  <c r="M69" i="27"/>
  <c r="L69" i="27"/>
  <c r="G69" i="27"/>
  <c r="F69" i="27"/>
  <c r="M68" i="27"/>
  <c r="L68" i="27"/>
  <c r="G68" i="27"/>
  <c r="F68" i="27"/>
  <c r="M67" i="27"/>
  <c r="L67" i="27"/>
  <c r="G67" i="27"/>
  <c r="F67" i="27"/>
  <c r="M66" i="27"/>
  <c r="L66" i="27"/>
  <c r="G66" i="27"/>
  <c r="F66" i="27"/>
  <c r="O65" i="27"/>
  <c r="M65" i="27"/>
  <c r="L65" i="27"/>
  <c r="G65" i="27"/>
  <c r="F65" i="27"/>
  <c r="G64" i="27"/>
  <c r="F64" i="27"/>
  <c r="M63" i="27"/>
  <c r="L63" i="27"/>
  <c r="G63" i="27"/>
  <c r="F63" i="27"/>
  <c r="G62" i="27"/>
  <c r="F62" i="27"/>
  <c r="M61" i="27"/>
  <c r="L61" i="27"/>
  <c r="G61" i="27"/>
  <c r="F61" i="27"/>
  <c r="M60" i="27"/>
  <c r="L60" i="27"/>
  <c r="G60" i="27"/>
  <c r="F60" i="27"/>
  <c r="M59" i="27"/>
  <c r="L59" i="27"/>
  <c r="G59" i="27"/>
  <c r="F59" i="27"/>
  <c r="M58" i="27"/>
  <c r="L58" i="27"/>
  <c r="G58" i="27"/>
  <c r="F58" i="27"/>
  <c r="G57" i="27"/>
  <c r="F57" i="27"/>
  <c r="M56" i="27"/>
  <c r="L56" i="27"/>
  <c r="G56" i="27"/>
  <c r="F56" i="27"/>
  <c r="M55" i="27"/>
  <c r="L55" i="27"/>
  <c r="G55" i="27"/>
  <c r="F55" i="27"/>
  <c r="M54" i="27"/>
  <c r="L54" i="27"/>
  <c r="G54" i="27"/>
  <c r="F54" i="27"/>
  <c r="G53" i="27"/>
  <c r="F53" i="27"/>
  <c r="D53" i="27"/>
  <c r="F15" i="13" s="1"/>
  <c r="G52" i="27"/>
  <c r="F52" i="27"/>
  <c r="G51" i="27"/>
  <c r="F51" i="27"/>
  <c r="M50" i="27"/>
  <c r="L50" i="27"/>
  <c r="G50" i="27"/>
  <c r="F50" i="27"/>
  <c r="M49" i="27"/>
  <c r="L49" i="27"/>
  <c r="G49" i="27"/>
  <c r="F49" i="27"/>
  <c r="G48" i="27"/>
  <c r="F48" i="27"/>
  <c r="M47" i="27"/>
  <c r="L47" i="27"/>
  <c r="G47" i="27"/>
  <c r="F47" i="27"/>
  <c r="G46" i="27"/>
  <c r="F46" i="27"/>
  <c r="G45" i="27"/>
  <c r="F45" i="27"/>
  <c r="D45" i="27"/>
  <c r="E15" i="13" s="1"/>
  <c r="G44" i="27"/>
  <c r="F44" i="27"/>
  <c r="M43" i="27"/>
  <c r="L43" i="27"/>
  <c r="G43" i="27"/>
  <c r="F43" i="27"/>
  <c r="G42" i="27"/>
  <c r="F42" i="27"/>
  <c r="M41" i="27"/>
  <c r="L41" i="27"/>
  <c r="G41" i="27"/>
  <c r="F41" i="27"/>
  <c r="M40" i="27"/>
  <c r="L40" i="27"/>
  <c r="G40" i="27"/>
  <c r="F40" i="27"/>
  <c r="G39" i="27"/>
  <c r="F39" i="27"/>
  <c r="M38" i="27"/>
  <c r="L38" i="27"/>
  <c r="G38" i="27"/>
  <c r="F38" i="27"/>
  <c r="M37" i="27"/>
  <c r="L37" i="27"/>
  <c r="G37" i="27"/>
  <c r="F37" i="27"/>
  <c r="D37" i="27"/>
  <c r="D15" i="13" s="1"/>
  <c r="G36" i="27"/>
  <c r="F36" i="27"/>
  <c r="G35" i="27"/>
  <c r="G34" i="27"/>
  <c r="M33" i="27"/>
  <c r="L33" i="27"/>
  <c r="G33" i="27"/>
  <c r="F33" i="27"/>
  <c r="M32" i="27"/>
  <c r="L32" i="27"/>
  <c r="G32" i="27"/>
  <c r="F32" i="27"/>
  <c r="M31" i="27"/>
  <c r="L31" i="27"/>
  <c r="G31" i="27"/>
  <c r="F31" i="27"/>
  <c r="M30" i="27"/>
  <c r="L30" i="27"/>
  <c r="G30" i="27"/>
  <c r="F30" i="27"/>
  <c r="G29" i="27"/>
  <c r="F29" i="27"/>
  <c r="G28" i="27"/>
  <c r="F28" i="27"/>
  <c r="G27" i="27"/>
  <c r="F27" i="27"/>
  <c r="M26" i="27"/>
  <c r="L26" i="27"/>
  <c r="G26" i="27"/>
  <c r="F26" i="27"/>
  <c r="G25" i="27"/>
  <c r="F25" i="27"/>
  <c r="G24" i="27"/>
  <c r="F24" i="27"/>
  <c r="G23" i="27"/>
  <c r="F23" i="27"/>
  <c r="G22" i="27"/>
  <c r="F22" i="27"/>
  <c r="G21" i="27"/>
  <c r="F21" i="27"/>
  <c r="M20" i="27"/>
  <c r="L20" i="27"/>
  <c r="G20" i="27"/>
  <c r="F20" i="27"/>
  <c r="M19" i="27"/>
  <c r="L19" i="27"/>
  <c r="G19" i="27"/>
  <c r="F19" i="27"/>
  <c r="G18" i="27"/>
  <c r="F18" i="27"/>
  <c r="D17" i="27"/>
  <c r="C15" i="13" s="1"/>
  <c r="M7" i="27"/>
  <c r="D7" i="27"/>
  <c r="F7" i="27" s="1"/>
  <c r="M6" i="27"/>
  <c r="D5" i="27"/>
  <c r="C5" i="27"/>
  <c r="C3" i="27" s="1"/>
  <c r="N4" i="27"/>
  <c r="D4" i="27"/>
  <c r="F4" i="27" s="1"/>
  <c r="B4" i="27"/>
  <c r="N3" i="27"/>
  <c r="F7" i="13"/>
  <c r="J7" i="13"/>
  <c r="I66" i="23"/>
  <c r="H66" i="23"/>
  <c r="F66" i="23"/>
  <c r="E45" i="23"/>
  <c r="C66" i="23"/>
  <c r="J65" i="23"/>
  <c r="I65" i="23"/>
  <c r="C44" i="23"/>
  <c r="L54" i="23"/>
  <c r="M51" i="23"/>
  <c r="I44" i="23"/>
  <c r="B48" i="23"/>
  <c r="B47" i="23"/>
  <c r="K45" i="23"/>
  <c r="J45" i="23"/>
  <c r="G45" i="23"/>
  <c r="F45" i="23"/>
  <c r="C45" i="23"/>
  <c r="K44" i="23"/>
  <c r="K20" i="23"/>
  <c r="J20" i="23"/>
  <c r="I20" i="23"/>
  <c r="H20" i="23"/>
  <c r="G20" i="23"/>
  <c r="F20" i="23"/>
  <c r="E20" i="23"/>
  <c r="D20" i="23"/>
  <c r="C20" i="23"/>
  <c r="B20" i="23"/>
  <c r="K19" i="23"/>
  <c r="J19" i="23"/>
  <c r="I19" i="23"/>
  <c r="H19" i="23"/>
  <c r="G19" i="23"/>
  <c r="F19" i="23"/>
  <c r="E19" i="23"/>
  <c r="D19" i="23"/>
  <c r="C19" i="23"/>
  <c r="B19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G7" i="23"/>
  <c r="F7" i="23"/>
  <c r="E7" i="23"/>
  <c r="D7" i="23"/>
  <c r="C7" i="23"/>
  <c r="F5" i="23"/>
  <c r="D5" i="23"/>
  <c r="B5" i="23"/>
  <c r="F4" i="23"/>
  <c r="D4" i="23"/>
  <c r="B4" i="23"/>
  <c r="C4" i="23" s="1"/>
  <c r="D3" i="23"/>
  <c r="J4" i="23"/>
  <c r="C1" i="23"/>
  <c r="B1" i="23"/>
  <c r="K12" i="27" l="1"/>
  <c r="L19" i="23"/>
  <c r="A12" i="28"/>
  <c r="N12" i="30"/>
  <c r="G11" i="27"/>
  <c r="L19" i="28"/>
  <c r="M51" i="28"/>
  <c r="O65" i="29"/>
  <c r="A12" i="32"/>
  <c r="A12" i="23"/>
  <c r="L20" i="28"/>
  <c r="A12" i="30"/>
  <c r="E5" i="28"/>
  <c r="N12" i="28"/>
  <c r="E4" i="30"/>
  <c r="E3" i="30" s="1"/>
  <c r="G45" i="30"/>
  <c r="K65" i="28"/>
  <c r="E66" i="28"/>
  <c r="L54" i="28"/>
  <c r="L55" i="28"/>
  <c r="M54" i="28" s="1"/>
  <c r="D9" i="13"/>
  <c r="J8" i="13"/>
  <c r="L54" i="30"/>
  <c r="M54" i="30" s="1"/>
  <c r="M58" i="32"/>
  <c r="I44" i="28"/>
  <c r="J66" i="28"/>
  <c r="I65" i="28"/>
  <c r="E10" i="13"/>
  <c r="M61" i="32"/>
  <c r="M60" i="32"/>
  <c r="C14" i="30"/>
  <c r="J14" i="30"/>
  <c r="F14" i="30"/>
  <c r="B14" i="30"/>
  <c r="H14" i="30"/>
  <c r="C13" i="30"/>
  <c r="B13" i="30"/>
  <c r="K65" i="30"/>
  <c r="H13" i="30"/>
  <c r="L9" i="13"/>
  <c r="F13" i="30"/>
  <c r="J13" i="30"/>
  <c r="B14" i="28"/>
  <c r="L14" i="28"/>
  <c r="E14" i="28"/>
  <c r="G45" i="28"/>
  <c r="L60" i="28"/>
  <c r="M61" i="28" s="1"/>
  <c r="H14" i="28"/>
  <c r="I14" i="28"/>
  <c r="H13" i="28"/>
  <c r="L13" i="28"/>
  <c r="L26" i="28"/>
  <c r="D4" i="18"/>
  <c r="K13" i="28"/>
  <c r="M58" i="30"/>
  <c r="M61" i="30"/>
  <c r="E11" i="31"/>
  <c r="K11" i="31"/>
  <c r="B11" i="31"/>
  <c r="L3" i="32"/>
  <c r="E3" i="32"/>
  <c r="L56" i="32"/>
  <c r="M57" i="32"/>
  <c r="M51" i="32"/>
  <c r="B66" i="32"/>
  <c r="D66" i="32"/>
  <c r="B65" i="32"/>
  <c r="E66" i="32"/>
  <c r="J3" i="32"/>
  <c r="L59" i="32"/>
  <c r="M59" i="32" s="1"/>
  <c r="D65" i="32"/>
  <c r="E65" i="32"/>
  <c r="F65" i="32"/>
  <c r="N12" i="32"/>
  <c r="B44" i="32"/>
  <c r="G65" i="32"/>
  <c r="C4" i="32"/>
  <c r="L55" i="32"/>
  <c r="L53" i="32" s="1"/>
  <c r="H65" i="32"/>
  <c r="C5" i="32"/>
  <c r="I12" i="31"/>
  <c r="F4" i="31"/>
  <c r="D12" i="31"/>
  <c r="E5" i="31"/>
  <c r="C12" i="31"/>
  <c r="B12" i="31"/>
  <c r="J11" i="31"/>
  <c r="I11" i="31"/>
  <c r="B5" i="31"/>
  <c r="F5" i="31" s="1"/>
  <c r="H11" i="31"/>
  <c r="K12" i="31"/>
  <c r="G11" i="31"/>
  <c r="J12" i="31"/>
  <c r="E4" i="31"/>
  <c r="H12" i="31"/>
  <c r="D11" i="31"/>
  <c r="G12" i="31"/>
  <c r="C11" i="31"/>
  <c r="F12" i="31"/>
  <c r="E12" i="31"/>
  <c r="K11" i="29"/>
  <c r="H11" i="29"/>
  <c r="C3" i="30"/>
  <c r="L56" i="30"/>
  <c r="M56" i="30" s="1"/>
  <c r="M57" i="30"/>
  <c r="L59" i="30"/>
  <c r="M59" i="30" s="1"/>
  <c r="M60" i="30"/>
  <c r="L4" i="30"/>
  <c r="C66" i="30"/>
  <c r="B45" i="30"/>
  <c r="B65" i="30"/>
  <c r="C65" i="30"/>
  <c r="D65" i="30"/>
  <c r="H66" i="30"/>
  <c r="E65" i="30"/>
  <c r="F65" i="30"/>
  <c r="B66" i="30"/>
  <c r="B44" i="30"/>
  <c r="G65" i="30"/>
  <c r="K12" i="29"/>
  <c r="I12" i="29"/>
  <c r="B5" i="29"/>
  <c r="F5" i="29" s="1"/>
  <c r="I11" i="29"/>
  <c r="J11" i="29"/>
  <c r="B12" i="29"/>
  <c r="C12" i="29"/>
  <c r="D12" i="29"/>
  <c r="D3" i="29"/>
  <c r="E3" i="29" s="1"/>
  <c r="E12" i="29"/>
  <c r="B11" i="29"/>
  <c r="F12" i="29"/>
  <c r="C11" i="29"/>
  <c r="G12" i="29"/>
  <c r="D11" i="29"/>
  <c r="H12" i="29"/>
  <c r="E11" i="29"/>
  <c r="J12" i="29"/>
  <c r="G11" i="29"/>
  <c r="M58" i="28"/>
  <c r="L3" i="28"/>
  <c r="E3" i="28"/>
  <c r="L56" i="28"/>
  <c r="M56" i="28" s="1"/>
  <c r="M57" i="28"/>
  <c r="B66" i="28"/>
  <c r="B45" i="28"/>
  <c r="D66" i="28"/>
  <c r="B65" i="28"/>
  <c r="C65" i="28"/>
  <c r="J3" i="28"/>
  <c r="D65" i="28"/>
  <c r="E65" i="28"/>
  <c r="C5" i="28"/>
  <c r="F65" i="28"/>
  <c r="B44" i="28"/>
  <c r="G65" i="28"/>
  <c r="C4" i="28"/>
  <c r="C3" i="28" s="1"/>
  <c r="J12" i="27"/>
  <c r="G12" i="27"/>
  <c r="H11" i="27"/>
  <c r="B5" i="27"/>
  <c r="F5" i="27" s="1"/>
  <c r="I11" i="27"/>
  <c r="J11" i="27"/>
  <c r="K11" i="27"/>
  <c r="B12" i="27"/>
  <c r="C12" i="27"/>
  <c r="D12" i="27"/>
  <c r="D3" i="27"/>
  <c r="E3" i="27" s="1"/>
  <c r="E12" i="27"/>
  <c r="B11" i="27"/>
  <c r="F12" i="27"/>
  <c r="C11" i="27"/>
  <c r="D11" i="27"/>
  <c r="H12" i="27"/>
  <c r="E11" i="27"/>
  <c r="I12" i="27"/>
  <c r="E4" i="23"/>
  <c r="D44" i="23"/>
  <c r="J66" i="23"/>
  <c r="L61" i="23"/>
  <c r="E7" i="13"/>
  <c r="E44" i="23"/>
  <c r="K66" i="23"/>
  <c r="L25" i="23"/>
  <c r="H45" i="23"/>
  <c r="F44" i="23"/>
  <c r="L57" i="23"/>
  <c r="E5" i="23"/>
  <c r="I45" i="23"/>
  <c r="G44" i="23"/>
  <c r="H44" i="23"/>
  <c r="I23" i="13"/>
  <c r="K65" i="23"/>
  <c r="C7" i="13"/>
  <c r="N13" i="23"/>
  <c r="L20" i="23"/>
  <c r="L55" i="23"/>
  <c r="M54" i="23" s="1"/>
  <c r="D7" i="13"/>
  <c r="L60" i="23"/>
  <c r="L7" i="13"/>
  <c r="J44" i="23"/>
  <c r="D66" i="23"/>
  <c r="K7" i="13"/>
  <c r="L26" i="23"/>
  <c r="L58" i="23"/>
  <c r="I7" i="13"/>
  <c r="G66" i="23"/>
  <c r="H7" i="13"/>
  <c r="G7" i="13"/>
  <c r="F24" i="13"/>
  <c r="F23" i="13"/>
  <c r="H23" i="13"/>
  <c r="E3" i="23"/>
  <c r="B66" i="23"/>
  <c r="N14" i="23"/>
  <c r="B45" i="23"/>
  <c r="E66" i="23"/>
  <c r="B65" i="23"/>
  <c r="D45" i="23"/>
  <c r="C65" i="23"/>
  <c r="J3" i="23"/>
  <c r="D65" i="23"/>
  <c r="E65" i="23"/>
  <c r="F65" i="23"/>
  <c r="N12" i="23"/>
  <c r="B44" i="23"/>
  <c r="G65" i="23"/>
  <c r="H65" i="23"/>
  <c r="C5" i="23"/>
  <c r="C3" i="23" s="1"/>
  <c r="S174" i="18"/>
  <c r="R174" i="18"/>
  <c r="S173" i="18"/>
  <c r="R173" i="18"/>
  <c r="S172" i="18"/>
  <c r="R172" i="18"/>
  <c r="P172" i="18"/>
  <c r="O172" i="18"/>
  <c r="N172" i="18"/>
  <c r="M172" i="18"/>
  <c r="L172" i="18"/>
  <c r="K172" i="18"/>
  <c r="J172" i="18"/>
  <c r="I172" i="18"/>
  <c r="D172" i="18"/>
  <c r="L14" i="13" s="1"/>
  <c r="S171" i="18"/>
  <c r="R171" i="18"/>
  <c r="S170" i="18"/>
  <c r="R170" i="18"/>
  <c r="S169" i="18"/>
  <c r="R169" i="18"/>
  <c r="S168" i="18"/>
  <c r="R168" i="18"/>
  <c r="S167" i="18"/>
  <c r="R167" i="18"/>
  <c r="S166" i="18"/>
  <c r="R166" i="18"/>
  <c r="S165" i="18"/>
  <c r="R165" i="18"/>
  <c r="S164" i="18"/>
  <c r="R164" i="18"/>
  <c r="S163" i="18"/>
  <c r="R163" i="18"/>
  <c r="P163" i="18"/>
  <c r="O163" i="18"/>
  <c r="N163" i="18"/>
  <c r="M163" i="18"/>
  <c r="L163" i="18"/>
  <c r="K163" i="18"/>
  <c r="J163" i="18"/>
  <c r="I163" i="18"/>
  <c r="H163" i="18"/>
  <c r="G163" i="18"/>
  <c r="F163" i="18"/>
  <c r="E163" i="18"/>
  <c r="D163" i="18"/>
  <c r="K14" i="13" s="1"/>
  <c r="S162" i="18"/>
  <c r="R162" i="18"/>
  <c r="S161" i="18"/>
  <c r="R161" i="18"/>
  <c r="S160" i="18"/>
  <c r="R160" i="18"/>
  <c r="P160" i="18"/>
  <c r="O160" i="18"/>
  <c r="N160" i="18"/>
  <c r="M160" i="18"/>
  <c r="L160" i="18"/>
  <c r="K160" i="18"/>
  <c r="J160" i="18"/>
  <c r="I160" i="18"/>
  <c r="D160" i="18"/>
  <c r="J14" i="13" s="1"/>
  <c r="J22" i="13" s="1"/>
  <c r="S159" i="18"/>
  <c r="R159" i="18"/>
  <c r="S158" i="18"/>
  <c r="R158" i="18"/>
  <c r="S157" i="18"/>
  <c r="R157" i="18"/>
  <c r="S156" i="18"/>
  <c r="R156" i="18"/>
  <c r="S155" i="18"/>
  <c r="R155" i="18"/>
  <c r="S154" i="18"/>
  <c r="R154" i="18"/>
  <c r="S153" i="18"/>
  <c r="R153" i="18"/>
  <c r="P153" i="18"/>
  <c r="O153" i="18"/>
  <c r="N153" i="18"/>
  <c r="M153" i="18"/>
  <c r="L153" i="18"/>
  <c r="K153" i="18"/>
  <c r="J153" i="18"/>
  <c r="I153" i="18"/>
  <c r="H153" i="18"/>
  <c r="G153" i="18"/>
  <c r="F153" i="18"/>
  <c r="E153" i="18"/>
  <c r="D153" i="18"/>
  <c r="I14" i="13" s="1"/>
  <c r="S152" i="18"/>
  <c r="R152" i="18"/>
  <c r="S151" i="18"/>
  <c r="R151" i="18"/>
  <c r="S150" i="18"/>
  <c r="R150" i="18"/>
  <c r="S149" i="18"/>
  <c r="R149" i="18"/>
  <c r="S148" i="18"/>
  <c r="R148" i="18"/>
  <c r="S147" i="18"/>
  <c r="R147" i="18"/>
  <c r="P146" i="18"/>
  <c r="O146" i="18"/>
  <c r="N146" i="18"/>
  <c r="M146" i="18"/>
  <c r="L146" i="18"/>
  <c r="K146" i="18"/>
  <c r="J146" i="18"/>
  <c r="I146" i="18"/>
  <c r="H146" i="18"/>
  <c r="G146" i="18"/>
  <c r="F146" i="18"/>
  <c r="E146" i="18"/>
  <c r="D146" i="18"/>
  <c r="H14" i="13" s="1"/>
  <c r="S144" i="18"/>
  <c r="R144" i="18"/>
  <c r="S143" i="18"/>
  <c r="R143" i="18"/>
  <c r="S142" i="18"/>
  <c r="R142" i="18"/>
  <c r="S141" i="18"/>
  <c r="R141" i="18"/>
  <c r="S140" i="18"/>
  <c r="R140" i="18"/>
  <c r="S139" i="18"/>
  <c r="R139" i="18"/>
  <c r="S138" i="18"/>
  <c r="R138" i="18"/>
  <c r="S137" i="18"/>
  <c r="R137" i="18"/>
  <c r="S136" i="18"/>
  <c r="R136" i="18"/>
  <c r="S135" i="18"/>
  <c r="R135" i="18"/>
  <c r="S134" i="18"/>
  <c r="R134" i="18"/>
  <c r="S133" i="18"/>
  <c r="R133" i="18"/>
  <c r="S132" i="18"/>
  <c r="R132" i="18"/>
  <c r="S131" i="18"/>
  <c r="R131" i="18"/>
  <c r="S130" i="18"/>
  <c r="R130" i="18"/>
  <c r="AJ128" i="18"/>
  <c r="S129" i="18"/>
  <c r="R129" i="18"/>
  <c r="AJ127" i="18"/>
  <c r="S128" i="18"/>
  <c r="R128" i="18"/>
  <c r="AJ126" i="18"/>
  <c r="S127" i="18"/>
  <c r="R127" i="18"/>
  <c r="S126" i="18"/>
  <c r="R126" i="18"/>
  <c r="AJ124" i="18"/>
  <c r="S125" i="18"/>
  <c r="R125" i="18"/>
  <c r="AJ123" i="18"/>
  <c r="S124" i="18"/>
  <c r="R124" i="18"/>
  <c r="AJ122" i="18"/>
  <c r="S123" i="18"/>
  <c r="R123" i="18"/>
  <c r="AJ121" i="18"/>
  <c r="S122" i="18"/>
  <c r="R122" i="18"/>
  <c r="D122" i="18"/>
  <c r="AJ120" i="18"/>
  <c r="S121" i="18"/>
  <c r="R121" i="18"/>
  <c r="AJ119" i="18"/>
  <c r="S120" i="18"/>
  <c r="R120" i="18"/>
  <c r="AJ118" i="18"/>
  <c r="S119" i="18"/>
  <c r="R119" i="18"/>
  <c r="AJ117" i="18"/>
  <c r="S118" i="18"/>
  <c r="R118" i="18"/>
  <c r="AJ116" i="18"/>
  <c r="S117" i="18"/>
  <c r="R117" i="18"/>
  <c r="AJ115" i="18"/>
  <c r="S116" i="18"/>
  <c r="R116" i="18"/>
  <c r="AJ114" i="18"/>
  <c r="S115" i="18"/>
  <c r="R115" i="18"/>
  <c r="AJ113" i="18"/>
  <c r="S114" i="18"/>
  <c r="R114" i="18"/>
  <c r="AK112" i="18"/>
  <c r="AJ112" i="18"/>
  <c r="S113" i="18"/>
  <c r="R113" i="18"/>
  <c r="AK111" i="18"/>
  <c r="AJ111" i="18"/>
  <c r="S112" i="18"/>
  <c r="R112" i="18"/>
  <c r="AK110" i="18"/>
  <c r="AJ110" i="18"/>
  <c r="S111" i="18"/>
  <c r="R111" i="18"/>
  <c r="S110" i="18"/>
  <c r="R110" i="18"/>
  <c r="S109" i="18"/>
  <c r="R109" i="18"/>
  <c r="AK107" i="18"/>
  <c r="AJ107" i="18"/>
  <c r="S108" i="18"/>
  <c r="R108" i="18"/>
  <c r="AK106" i="18"/>
  <c r="AJ106" i="18"/>
  <c r="S107" i="18"/>
  <c r="R107" i="18"/>
  <c r="S106" i="18"/>
  <c r="R106" i="18"/>
  <c r="S105" i="18"/>
  <c r="R105" i="18"/>
  <c r="S104" i="18"/>
  <c r="R104" i="18"/>
  <c r="S103" i="18"/>
  <c r="R103" i="18"/>
  <c r="AK101" i="18"/>
  <c r="AJ101" i="18"/>
  <c r="S102" i="18"/>
  <c r="R102" i="18"/>
  <c r="S101" i="18"/>
  <c r="R101" i="18"/>
  <c r="AK99" i="18"/>
  <c r="AJ99" i="18"/>
  <c r="S100" i="18"/>
  <c r="R100" i="18"/>
  <c r="AK98" i="18"/>
  <c r="AJ98" i="18"/>
  <c r="S99" i="18"/>
  <c r="R99" i="18"/>
  <c r="AK97" i="18"/>
  <c r="AJ97" i="18"/>
  <c r="S98" i="18"/>
  <c r="R98" i="18"/>
  <c r="AK96" i="18"/>
  <c r="AJ96" i="18"/>
  <c r="S97" i="18"/>
  <c r="R97" i="18"/>
  <c r="P97" i="18"/>
  <c r="O97" i="18"/>
  <c r="N97" i="18"/>
  <c r="M97" i="18"/>
  <c r="L97" i="18"/>
  <c r="K97" i="18"/>
  <c r="J97" i="18"/>
  <c r="I97" i="18"/>
  <c r="H97" i="18"/>
  <c r="G97" i="18"/>
  <c r="F97" i="18"/>
  <c r="E97" i="18"/>
  <c r="D97" i="18"/>
  <c r="G14" i="13" s="1"/>
  <c r="AK95" i="18"/>
  <c r="AJ95" i="18"/>
  <c r="S96" i="18"/>
  <c r="R96" i="18"/>
  <c r="AK94" i="18"/>
  <c r="AJ94" i="18"/>
  <c r="S95" i="18"/>
  <c r="R95" i="18"/>
  <c r="AK93" i="18"/>
  <c r="AJ93" i="18"/>
  <c r="S94" i="18"/>
  <c r="R94" i="18"/>
  <c r="AK92" i="18"/>
  <c r="AJ92" i="18"/>
  <c r="S93" i="18"/>
  <c r="R93" i="18"/>
  <c r="AK91" i="18"/>
  <c r="AJ91" i="18"/>
  <c r="S92" i="18"/>
  <c r="R92" i="18"/>
  <c r="AK90" i="18"/>
  <c r="AJ90" i="18"/>
  <c r="S91" i="18"/>
  <c r="R91" i="18"/>
  <c r="AK89" i="18"/>
  <c r="AJ89" i="18"/>
  <c r="S90" i="18"/>
  <c r="R90" i="18"/>
  <c r="AK88" i="18"/>
  <c r="AJ88" i="18"/>
  <c r="S89" i="18"/>
  <c r="R89" i="18"/>
  <c r="AK87" i="18"/>
  <c r="AJ87" i="18"/>
  <c r="S88" i="18"/>
  <c r="R88" i="18"/>
  <c r="AK86" i="18"/>
  <c r="AJ86" i="18"/>
  <c r="S87" i="18"/>
  <c r="R87" i="18"/>
  <c r="AK85" i="18"/>
  <c r="AJ85" i="18"/>
  <c r="S86" i="18"/>
  <c r="R86" i="18"/>
  <c r="AK84" i="18"/>
  <c r="AJ84" i="18"/>
  <c r="S85" i="18"/>
  <c r="R85" i="18"/>
  <c r="AK83" i="18"/>
  <c r="AJ83" i="18"/>
  <c r="AH83" i="18"/>
  <c r="AG83" i="18"/>
  <c r="AF83" i="18"/>
  <c r="AE83" i="18"/>
  <c r="AD83" i="18"/>
  <c r="AC83" i="18"/>
  <c r="AB83" i="18"/>
  <c r="AA83" i="18"/>
  <c r="Z83" i="18"/>
  <c r="Y83" i="18"/>
  <c r="X83" i="18"/>
  <c r="W83" i="18"/>
  <c r="S84" i="18"/>
  <c r="R84" i="18"/>
  <c r="AK82" i="18"/>
  <c r="AJ82" i="18"/>
  <c r="AH82" i="18"/>
  <c r="AG82" i="18"/>
  <c r="AF82" i="18"/>
  <c r="AE82" i="18"/>
  <c r="AD82" i="18"/>
  <c r="AC82" i="18"/>
  <c r="AB82" i="18"/>
  <c r="AA82" i="18"/>
  <c r="Z82" i="18"/>
  <c r="Y82" i="18"/>
  <c r="X82" i="18"/>
  <c r="W82" i="18"/>
  <c r="S83" i="18"/>
  <c r="R83" i="18"/>
  <c r="S82" i="18"/>
  <c r="R82" i="18"/>
  <c r="AK80" i="18"/>
  <c r="AJ80" i="18"/>
  <c r="AH80" i="18"/>
  <c r="AG80" i="18"/>
  <c r="AF80" i="18"/>
  <c r="AE80" i="18"/>
  <c r="AD80" i="18"/>
  <c r="AC80" i="18"/>
  <c r="AB80" i="18"/>
  <c r="AA80" i="18"/>
  <c r="Z80" i="18"/>
  <c r="Y80" i="18"/>
  <c r="X80" i="18"/>
  <c r="W80" i="18"/>
  <c r="S81" i="18"/>
  <c r="R81" i="18"/>
  <c r="AK79" i="18"/>
  <c r="AJ79" i="18"/>
  <c r="S80" i="18"/>
  <c r="R80" i="18"/>
  <c r="AK78" i="18"/>
  <c r="AJ78" i="18"/>
  <c r="AH78" i="18"/>
  <c r="AG78" i="18"/>
  <c r="AF78" i="18"/>
  <c r="AE78" i="18"/>
  <c r="AD78" i="18"/>
  <c r="AC78" i="18"/>
  <c r="AB78" i="18"/>
  <c r="AA78" i="18"/>
  <c r="Z78" i="18"/>
  <c r="Y78" i="18"/>
  <c r="X78" i="18"/>
  <c r="W78" i="18"/>
  <c r="S79" i="18"/>
  <c r="R79" i="18"/>
  <c r="AK77" i="18"/>
  <c r="AJ77" i="18"/>
  <c r="AH77" i="18"/>
  <c r="AG77" i="18"/>
  <c r="AF77" i="18"/>
  <c r="AE77" i="18"/>
  <c r="AD77" i="18"/>
  <c r="AC77" i="18"/>
  <c r="AB77" i="18"/>
  <c r="AA77" i="18"/>
  <c r="Z77" i="18"/>
  <c r="Y77" i="18"/>
  <c r="X77" i="18"/>
  <c r="W77" i="18"/>
  <c r="S78" i="18"/>
  <c r="R78" i="18"/>
  <c r="AH76" i="18"/>
  <c r="AG76" i="18"/>
  <c r="AF76" i="18"/>
  <c r="AE76" i="18"/>
  <c r="AD76" i="18"/>
  <c r="AC76" i="18"/>
  <c r="AB76" i="18"/>
  <c r="AA76" i="18"/>
  <c r="Z76" i="18"/>
  <c r="Y76" i="18"/>
  <c r="X76" i="18"/>
  <c r="W76" i="18"/>
  <c r="S77" i="18"/>
  <c r="R77" i="18"/>
  <c r="AK75" i="18"/>
  <c r="AJ75" i="18"/>
  <c r="S75" i="18"/>
  <c r="R75" i="18"/>
  <c r="AK74" i="18"/>
  <c r="AJ74" i="18"/>
  <c r="AH74" i="18"/>
  <c r="AG74" i="18"/>
  <c r="AF74" i="18"/>
  <c r="AE74" i="18"/>
  <c r="AD74" i="18"/>
  <c r="AC74" i="18"/>
  <c r="AB74" i="18"/>
  <c r="AA74" i="18"/>
  <c r="Z74" i="18"/>
  <c r="Y74" i="18"/>
  <c r="X74" i="18"/>
  <c r="W74" i="18"/>
  <c r="S74" i="18"/>
  <c r="R74" i="18"/>
  <c r="AK73" i="18"/>
  <c r="AJ73" i="18"/>
  <c r="S73" i="18"/>
  <c r="R73" i="18"/>
  <c r="AK72" i="18"/>
  <c r="AJ72" i="18"/>
  <c r="AH72" i="18"/>
  <c r="AG72" i="18"/>
  <c r="AF72" i="18"/>
  <c r="AE72" i="18"/>
  <c r="AD72" i="18"/>
  <c r="AC72" i="18"/>
  <c r="AB72" i="18"/>
  <c r="AA72" i="18"/>
  <c r="Z72" i="18"/>
  <c r="Y72" i="18"/>
  <c r="X72" i="18"/>
  <c r="W72" i="18"/>
  <c r="S72" i="18"/>
  <c r="R72" i="18"/>
  <c r="S71" i="18"/>
  <c r="R71" i="18"/>
  <c r="AH70" i="18"/>
  <c r="AG70" i="18"/>
  <c r="AF70" i="18"/>
  <c r="AE70" i="18"/>
  <c r="AD70" i="18"/>
  <c r="AC70" i="18"/>
  <c r="AB70" i="18"/>
  <c r="AA70" i="18"/>
  <c r="Z70" i="18"/>
  <c r="Y70" i="18"/>
  <c r="X70" i="18"/>
  <c r="W70" i="18"/>
  <c r="S70" i="18"/>
  <c r="R70" i="18"/>
  <c r="AK69" i="18"/>
  <c r="AJ69" i="18"/>
  <c r="S69" i="18"/>
  <c r="R69" i="18"/>
  <c r="AK68" i="18"/>
  <c r="AJ68" i="18"/>
  <c r="AH68" i="18"/>
  <c r="AG68" i="18"/>
  <c r="AF68" i="18"/>
  <c r="AE68" i="18"/>
  <c r="AD68" i="18"/>
  <c r="AC68" i="18"/>
  <c r="AB68" i="18"/>
  <c r="AA68" i="18"/>
  <c r="Z68" i="18"/>
  <c r="Y68" i="18"/>
  <c r="X68" i="18"/>
  <c r="W68" i="18"/>
  <c r="S68" i="18"/>
  <c r="R68" i="18"/>
  <c r="AK67" i="18"/>
  <c r="AJ67" i="18"/>
  <c r="S67" i="18"/>
  <c r="R67" i="18"/>
  <c r="AK66" i="18"/>
  <c r="AJ66" i="18"/>
  <c r="AH66" i="18"/>
  <c r="AG66" i="18"/>
  <c r="AF66" i="18"/>
  <c r="AE66" i="18"/>
  <c r="AD66" i="18"/>
  <c r="AC66" i="18"/>
  <c r="AB66" i="18"/>
  <c r="AA66" i="18"/>
  <c r="Z66" i="18"/>
  <c r="Y66" i="18"/>
  <c r="X66" i="18"/>
  <c r="W66" i="18"/>
  <c r="S66" i="18"/>
  <c r="R66" i="18"/>
  <c r="AK65" i="18"/>
  <c r="AJ65" i="18"/>
  <c r="AH65" i="18"/>
  <c r="AG65" i="18"/>
  <c r="AF65" i="18"/>
  <c r="AE65" i="18"/>
  <c r="AD65" i="18"/>
  <c r="AC65" i="18"/>
  <c r="AB65" i="18"/>
  <c r="AA65" i="18"/>
  <c r="Z65" i="18"/>
  <c r="Y65" i="18"/>
  <c r="X65" i="18"/>
  <c r="W65" i="18"/>
  <c r="S65" i="18"/>
  <c r="R65" i="18"/>
  <c r="AK64" i="18"/>
  <c r="AJ64" i="18"/>
  <c r="AH64" i="18"/>
  <c r="AG64" i="18"/>
  <c r="AF64" i="18"/>
  <c r="AE64" i="18"/>
  <c r="AD64" i="18"/>
  <c r="AC64" i="18"/>
  <c r="AB64" i="18"/>
  <c r="AA64" i="18"/>
  <c r="Z64" i="18"/>
  <c r="Y64" i="18"/>
  <c r="X64" i="18"/>
  <c r="W64" i="18"/>
  <c r="S64" i="18"/>
  <c r="R64" i="18"/>
  <c r="AK63" i="18"/>
  <c r="AJ63" i="18"/>
  <c r="AH63" i="18"/>
  <c r="AG63" i="18"/>
  <c r="AF63" i="18"/>
  <c r="AE63" i="18"/>
  <c r="AD63" i="18"/>
  <c r="AC63" i="18"/>
  <c r="AB63" i="18"/>
  <c r="AA63" i="18"/>
  <c r="Z63" i="18"/>
  <c r="Y63" i="18"/>
  <c r="X63" i="18"/>
  <c r="W63" i="18"/>
  <c r="S63" i="18"/>
  <c r="R63" i="18"/>
  <c r="AH62" i="18"/>
  <c r="AG62" i="18"/>
  <c r="AF62" i="18"/>
  <c r="AE62" i="18"/>
  <c r="AD62" i="18"/>
  <c r="AC62" i="18"/>
  <c r="AB62" i="18"/>
  <c r="AA62" i="18"/>
  <c r="Z62" i="18"/>
  <c r="Y62" i="18"/>
  <c r="X62" i="18"/>
  <c r="W62" i="18"/>
  <c r="S62" i="18"/>
  <c r="R62" i="18"/>
  <c r="AK61" i="18"/>
  <c r="AJ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S61" i="18"/>
  <c r="R61" i="18"/>
  <c r="AK60" i="18"/>
  <c r="AJ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S60" i="18"/>
  <c r="R60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S59" i="18"/>
  <c r="R59" i="18"/>
  <c r="AK58" i="18"/>
  <c r="AJ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S58" i="18"/>
  <c r="R58" i="18"/>
  <c r="AK57" i="18"/>
  <c r="AJ57" i="18"/>
  <c r="AH57" i="18"/>
  <c r="AG57" i="18"/>
  <c r="AF57" i="18"/>
  <c r="AE57" i="18"/>
  <c r="AD57" i="18"/>
  <c r="AC57" i="18"/>
  <c r="AB57" i="18"/>
  <c r="AA57" i="18"/>
  <c r="Z57" i="18"/>
  <c r="Y57" i="18"/>
  <c r="X57" i="18"/>
  <c r="W57" i="18"/>
  <c r="S57" i="18"/>
  <c r="R57" i="18"/>
  <c r="AK56" i="18"/>
  <c r="AJ56" i="18"/>
  <c r="S56" i="18"/>
  <c r="R56" i="18"/>
  <c r="AK55" i="18"/>
  <c r="AJ55" i="18"/>
  <c r="S55" i="18"/>
  <c r="R55" i="18"/>
  <c r="AK54" i="18"/>
  <c r="AJ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S54" i="18"/>
  <c r="R54" i="18"/>
  <c r="AK53" i="18"/>
  <c r="AJ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S53" i="18"/>
  <c r="R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F14" i="13" s="1"/>
  <c r="F22" i="13" s="1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S52" i="18"/>
  <c r="R52" i="18"/>
  <c r="AK51" i="18"/>
  <c r="AJ51" i="18"/>
  <c r="S51" i="18"/>
  <c r="R51" i="18"/>
  <c r="AK50" i="18"/>
  <c r="AJ50" i="18"/>
  <c r="AH50" i="18"/>
  <c r="AG50" i="18"/>
  <c r="AF50" i="18"/>
  <c r="AE50" i="18"/>
  <c r="AD50" i="18"/>
  <c r="AC50" i="18"/>
  <c r="AB50" i="18"/>
  <c r="AA50" i="18"/>
  <c r="Z50" i="18"/>
  <c r="Y50" i="18"/>
  <c r="X50" i="18"/>
  <c r="S50" i="18"/>
  <c r="R50" i="18"/>
  <c r="AK49" i="18"/>
  <c r="AJ49" i="18"/>
  <c r="S49" i="18"/>
  <c r="R49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S48" i="18"/>
  <c r="R48" i="18"/>
  <c r="AK47" i="18"/>
  <c r="AJ47" i="18"/>
  <c r="AH47" i="18"/>
  <c r="AG47" i="18"/>
  <c r="AF47" i="18"/>
  <c r="AE47" i="18"/>
  <c r="AD47" i="18"/>
  <c r="AC47" i="18"/>
  <c r="AB47" i="18"/>
  <c r="AA47" i="18"/>
  <c r="Z47" i="18"/>
  <c r="Y47" i="18"/>
  <c r="X47" i="18"/>
  <c r="W47" i="18"/>
  <c r="S47" i="18"/>
  <c r="R47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S46" i="18"/>
  <c r="R46" i="18"/>
  <c r="AK45" i="18"/>
  <c r="AJ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S45" i="18"/>
  <c r="R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E14" i="13" s="1"/>
  <c r="AK44" i="18"/>
  <c r="AJ44" i="18"/>
  <c r="S44" i="18"/>
  <c r="R44" i="18"/>
  <c r="AK43" i="18"/>
  <c r="AJ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S43" i="18"/>
  <c r="R43" i="18"/>
  <c r="AK42" i="18"/>
  <c r="AJ42" i="18"/>
  <c r="S42" i="18"/>
  <c r="R42" i="18"/>
  <c r="AK41" i="18"/>
  <c r="AJ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S41" i="18"/>
  <c r="R41" i="18"/>
  <c r="AK40" i="18"/>
  <c r="AJ40" i="18"/>
  <c r="S40" i="18"/>
  <c r="R40" i="18"/>
  <c r="AK39" i="18"/>
  <c r="AJ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S39" i="18"/>
  <c r="R39" i="18"/>
  <c r="AK38" i="18"/>
  <c r="AJ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S38" i="18"/>
  <c r="R38" i="18"/>
  <c r="AK37" i="18"/>
  <c r="AJ37" i="18"/>
  <c r="AH37" i="18"/>
  <c r="AG37" i="18"/>
  <c r="AF37" i="18"/>
  <c r="AE37" i="18"/>
  <c r="AD37" i="18"/>
  <c r="AC37" i="18"/>
  <c r="AB37" i="18"/>
  <c r="AA37" i="18"/>
  <c r="Z37" i="18"/>
  <c r="Y37" i="18"/>
  <c r="X37" i="18"/>
  <c r="W37" i="18"/>
  <c r="S37" i="18"/>
  <c r="R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D14" i="13" s="1"/>
  <c r="AK36" i="18"/>
  <c r="AJ36" i="18"/>
  <c r="S36" i="18"/>
  <c r="R36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S35" i="18"/>
  <c r="R35" i="18"/>
  <c r="AK34" i="18"/>
  <c r="AJ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S34" i="18"/>
  <c r="R34" i="18"/>
  <c r="AK33" i="18"/>
  <c r="AJ33" i="18"/>
  <c r="AH33" i="18"/>
  <c r="AG33" i="18"/>
  <c r="AF33" i="18"/>
  <c r="AE33" i="18"/>
  <c r="AD33" i="18"/>
  <c r="AC33" i="18"/>
  <c r="AB33" i="18"/>
  <c r="AA33" i="18"/>
  <c r="Z33" i="18"/>
  <c r="Y33" i="18"/>
  <c r="X33" i="18"/>
  <c r="S33" i="18"/>
  <c r="R33" i="18"/>
  <c r="AK32" i="18"/>
  <c r="AJ32" i="18"/>
  <c r="AH32" i="18"/>
  <c r="AG32" i="18"/>
  <c r="AF32" i="18"/>
  <c r="AE32" i="18"/>
  <c r="AD32" i="18"/>
  <c r="AC32" i="18"/>
  <c r="AB32" i="18"/>
  <c r="AA32" i="18"/>
  <c r="Z32" i="18"/>
  <c r="Y32" i="18"/>
  <c r="X32" i="18"/>
  <c r="W32" i="18"/>
  <c r="S32" i="18"/>
  <c r="R32" i="18"/>
  <c r="AK31" i="18"/>
  <c r="AJ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S31" i="18"/>
  <c r="R31" i="18"/>
  <c r="AK30" i="18"/>
  <c r="AJ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S30" i="18"/>
  <c r="R30" i="18"/>
  <c r="AK29" i="18"/>
  <c r="AJ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S29" i="18"/>
  <c r="R29" i="18"/>
  <c r="AK28" i="18"/>
  <c r="AJ28" i="18"/>
  <c r="AH28" i="18"/>
  <c r="AG28" i="18"/>
  <c r="AF28" i="18"/>
  <c r="AE28" i="18"/>
  <c r="AD28" i="18"/>
  <c r="AC28" i="18"/>
  <c r="AB28" i="18"/>
  <c r="AA28" i="18"/>
  <c r="Z28" i="18"/>
  <c r="Y28" i="18"/>
  <c r="X28" i="18"/>
  <c r="S28" i="18"/>
  <c r="R28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S27" i="18"/>
  <c r="R27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S26" i="18"/>
  <c r="R26" i="18"/>
  <c r="S25" i="18"/>
  <c r="R25" i="18"/>
  <c r="AK24" i="18"/>
  <c r="AJ24" i="18"/>
  <c r="AH24" i="18"/>
  <c r="AG24" i="18"/>
  <c r="AF24" i="18"/>
  <c r="AE24" i="18"/>
  <c r="AD24" i="18"/>
  <c r="AC24" i="18"/>
  <c r="AB24" i="18"/>
  <c r="AA24" i="18"/>
  <c r="Z24" i="18"/>
  <c r="Y24" i="18"/>
  <c r="X24" i="18"/>
  <c r="S24" i="18"/>
  <c r="R24" i="18"/>
  <c r="AK23" i="18"/>
  <c r="AJ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S23" i="18"/>
  <c r="R23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S22" i="18"/>
  <c r="R22" i="18"/>
  <c r="AK21" i="18"/>
  <c r="AJ21" i="18"/>
  <c r="S21" i="18"/>
  <c r="R21" i="18"/>
  <c r="AK20" i="18"/>
  <c r="AJ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S20" i="18"/>
  <c r="R20" i="18"/>
  <c r="AK19" i="18"/>
  <c r="AJ19" i="18"/>
  <c r="AH19" i="18"/>
  <c r="AG19" i="18"/>
  <c r="AF19" i="18"/>
  <c r="AE19" i="18"/>
  <c r="AE17" i="18" s="1"/>
  <c r="AD19" i="18"/>
  <c r="AC19" i="18"/>
  <c r="AC17" i="18" s="1"/>
  <c r="AB19" i="18"/>
  <c r="AB17" i="18" s="1"/>
  <c r="AA19" i="18"/>
  <c r="Z19" i="18"/>
  <c r="Z17" i="18" s="1"/>
  <c r="Y19" i="18"/>
  <c r="Y17" i="18" s="1"/>
  <c r="X19" i="18"/>
  <c r="W19" i="18"/>
  <c r="S19" i="18"/>
  <c r="R19" i="18"/>
  <c r="S18" i="18"/>
  <c r="R18" i="18"/>
  <c r="AH17" i="18"/>
  <c r="AG17" i="18"/>
  <c r="AF17" i="18"/>
  <c r="W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2" i="18"/>
  <c r="M7" i="18"/>
  <c r="D7" i="18"/>
  <c r="F7" i="18" s="1"/>
  <c r="D5" i="18"/>
  <c r="C5" i="18"/>
  <c r="B5" i="18" s="1"/>
  <c r="N4" i="18"/>
  <c r="B4" i="18"/>
  <c r="N3" i="18"/>
  <c r="I22" i="13" l="1"/>
  <c r="D22" i="13"/>
  <c r="E22" i="13"/>
  <c r="I15" i="18"/>
  <c r="K22" i="13"/>
  <c r="G22" i="13"/>
  <c r="H22" i="13"/>
  <c r="L22" i="13"/>
  <c r="L59" i="28"/>
  <c r="M59" i="28" s="1"/>
  <c r="M55" i="28"/>
  <c r="L53" i="28"/>
  <c r="M53" i="28" s="1"/>
  <c r="L53" i="30"/>
  <c r="M53" i="30" s="1"/>
  <c r="L4" i="28"/>
  <c r="M4" i="28" s="1"/>
  <c r="L51" i="28"/>
  <c r="H62" i="28" s="1"/>
  <c r="L3" i="30"/>
  <c r="M3" i="30" s="1"/>
  <c r="M55" i="30"/>
  <c r="L51" i="30"/>
  <c r="H62" i="30" s="1"/>
  <c r="M60" i="28"/>
  <c r="L15" i="18"/>
  <c r="K15" i="18"/>
  <c r="F15" i="18"/>
  <c r="G15" i="18"/>
  <c r="M11" i="18"/>
  <c r="H15" i="18"/>
  <c r="M61" i="23"/>
  <c r="C14" i="13"/>
  <c r="O15" i="18"/>
  <c r="D15" i="18"/>
  <c r="M15" i="18"/>
  <c r="P15" i="18"/>
  <c r="N15" i="18"/>
  <c r="E15" i="18"/>
  <c r="AI64" i="18"/>
  <c r="AI65" i="18"/>
  <c r="AI66" i="18"/>
  <c r="D102" i="31"/>
  <c r="D102" i="29"/>
  <c r="D102" i="27"/>
  <c r="J15" i="18"/>
  <c r="AI60" i="18"/>
  <c r="AI62" i="18"/>
  <c r="F4" i="18"/>
  <c r="M53" i="32"/>
  <c r="M56" i="32"/>
  <c r="N14" i="32"/>
  <c r="N13" i="32"/>
  <c r="M52" i="32"/>
  <c r="E13" i="30"/>
  <c r="E14" i="30"/>
  <c r="I13" i="30"/>
  <c r="L13" i="30"/>
  <c r="I14" i="30"/>
  <c r="M13" i="30"/>
  <c r="L14" i="30"/>
  <c r="M14" i="30"/>
  <c r="G13" i="30"/>
  <c r="D13" i="30"/>
  <c r="G14" i="30"/>
  <c r="D14" i="30"/>
  <c r="I13" i="28"/>
  <c r="E13" i="28"/>
  <c r="G14" i="28"/>
  <c r="J13" i="28"/>
  <c r="J14" i="28"/>
  <c r="B13" i="28"/>
  <c r="F13" i="28"/>
  <c r="G13" i="28"/>
  <c r="F14" i="28"/>
  <c r="C14" i="28"/>
  <c r="C13" i="28"/>
  <c r="M3" i="28"/>
  <c r="L56" i="23"/>
  <c r="M56" i="23" s="1"/>
  <c r="L4" i="23"/>
  <c r="L3" i="23"/>
  <c r="L53" i="23"/>
  <c r="M53" i="23" s="1"/>
  <c r="M55" i="23"/>
  <c r="L59" i="23"/>
  <c r="M59" i="23" s="1"/>
  <c r="H38" i="23"/>
  <c r="H29" i="23"/>
  <c r="H22" i="23"/>
  <c r="F30" i="23"/>
  <c r="F23" i="23"/>
  <c r="G38" i="23"/>
  <c r="H23" i="23"/>
  <c r="J23" i="23"/>
  <c r="K38" i="23"/>
  <c r="F22" i="23"/>
  <c r="C38" i="23"/>
  <c r="C23" i="23"/>
  <c r="B22" i="23"/>
  <c r="I22" i="23"/>
  <c r="B29" i="23"/>
  <c r="D29" i="23"/>
  <c r="E22" i="23"/>
  <c r="D23" i="23"/>
  <c r="G22" i="23"/>
  <c r="J29" i="23"/>
  <c r="D22" i="23"/>
  <c r="B23" i="23"/>
  <c r="E38" i="23"/>
  <c r="G23" i="23"/>
  <c r="B30" i="23"/>
  <c r="F29" i="23"/>
  <c r="E23" i="23"/>
  <c r="C29" i="23"/>
  <c r="J22" i="23"/>
  <c r="I29" i="23"/>
  <c r="H30" i="23"/>
  <c r="J30" i="23"/>
  <c r="K23" i="23"/>
  <c r="D30" i="23"/>
  <c r="G29" i="23"/>
  <c r="J38" i="23"/>
  <c r="I23" i="23"/>
  <c r="G30" i="23"/>
  <c r="B38" i="23"/>
  <c r="D38" i="23"/>
  <c r="E29" i="23"/>
  <c r="F38" i="23"/>
  <c r="E30" i="23"/>
  <c r="I38" i="23"/>
  <c r="K22" i="23"/>
  <c r="C30" i="23"/>
  <c r="C22" i="23"/>
  <c r="K30" i="23"/>
  <c r="I30" i="23"/>
  <c r="K29" i="23"/>
  <c r="C3" i="32"/>
  <c r="L66" i="32"/>
  <c r="L65" i="32"/>
  <c r="L4" i="32"/>
  <c r="M4" i="32" s="1"/>
  <c r="M55" i="32"/>
  <c r="L51" i="32"/>
  <c r="H62" i="32" s="1"/>
  <c r="M54" i="32"/>
  <c r="L12" i="31"/>
  <c r="L66" i="30"/>
  <c r="M52" i="30"/>
  <c r="L65" i="30"/>
  <c r="E4" i="29"/>
  <c r="E5" i="29"/>
  <c r="L12" i="29"/>
  <c r="L66" i="28"/>
  <c r="L65" i="28"/>
  <c r="M52" i="28"/>
  <c r="L12" i="27"/>
  <c r="E5" i="27"/>
  <c r="E4" i="27"/>
  <c r="AF14" i="18"/>
  <c r="X17" i="18"/>
  <c r="X14" i="18" s="1"/>
  <c r="W24" i="18"/>
  <c r="AA17" i="18"/>
  <c r="AA14" i="18" s="1"/>
  <c r="AI54" i="18"/>
  <c r="AC14" i="18"/>
  <c r="AD17" i="18"/>
  <c r="AD14" i="18" s="1"/>
  <c r="L51" i="23"/>
  <c r="H62" i="23" s="1"/>
  <c r="M58" i="23"/>
  <c r="F5" i="18"/>
  <c r="M4" i="23"/>
  <c r="M57" i="23"/>
  <c r="M60" i="23"/>
  <c r="AI39" i="18"/>
  <c r="Y14" i="18"/>
  <c r="AI20" i="18"/>
  <c r="AI41" i="18"/>
  <c r="AI70" i="18"/>
  <c r="AI68" i="18" s="1"/>
  <c r="I12" i="18" s="1"/>
  <c r="AI78" i="18"/>
  <c r="Z14" i="18"/>
  <c r="AI77" i="18"/>
  <c r="AI76" i="18"/>
  <c r="AB14" i="18"/>
  <c r="AI47" i="18"/>
  <c r="AI48" i="18"/>
  <c r="AI74" i="18"/>
  <c r="AI45" i="18"/>
  <c r="AE14" i="18"/>
  <c r="AH14" i="18"/>
  <c r="AI63" i="18"/>
  <c r="AI52" i="18"/>
  <c r="AI53" i="18"/>
  <c r="AI61" i="18"/>
  <c r="AI37" i="18"/>
  <c r="AI38" i="18"/>
  <c r="AI57" i="18"/>
  <c r="AI83" i="18"/>
  <c r="AI30" i="18"/>
  <c r="AI31" i="18"/>
  <c r="W28" i="18"/>
  <c r="W33" i="18"/>
  <c r="AI35" i="18"/>
  <c r="AI59" i="18"/>
  <c r="AI82" i="18"/>
  <c r="AG14" i="18"/>
  <c r="AI19" i="18"/>
  <c r="L66" i="23"/>
  <c r="L65" i="23"/>
  <c r="M3" i="23"/>
  <c r="G11" i="18"/>
  <c r="J11" i="18"/>
  <c r="I11" i="18"/>
  <c r="C3" i="18"/>
  <c r="K11" i="18"/>
  <c r="W50" i="18"/>
  <c r="D3" i="18"/>
  <c r="E3" i="18" s="1"/>
  <c r="B11" i="18"/>
  <c r="C11" i="18"/>
  <c r="D11" i="18"/>
  <c r="E11" i="18"/>
  <c r="F11" i="18"/>
  <c r="AI26" i="18"/>
  <c r="AI24" i="18" s="1"/>
  <c r="D12" i="18" s="1"/>
  <c r="H11" i="18"/>
  <c r="M52" i="23" l="1"/>
  <c r="M4" i="30"/>
  <c r="AI17" i="18"/>
  <c r="AI72" i="18"/>
  <c r="J12" i="18" s="1"/>
  <c r="N13" i="30"/>
  <c r="L23" i="23"/>
  <c r="W14" i="18"/>
  <c r="AI50" i="18"/>
  <c r="H12" i="18" s="1"/>
  <c r="AI43" i="18"/>
  <c r="G12" i="18" s="1"/>
  <c r="D93" i="27"/>
  <c r="F11" i="27"/>
  <c r="L11" i="27" s="1"/>
  <c r="AI80" i="18"/>
  <c r="K12" i="18" s="1"/>
  <c r="D93" i="29"/>
  <c r="F11" i="29"/>
  <c r="L11" i="29" s="1"/>
  <c r="AI33" i="18"/>
  <c r="F12" i="18" s="1"/>
  <c r="D93" i="31"/>
  <c r="F11" i="31"/>
  <c r="L11" i="31" s="1"/>
  <c r="M3" i="32"/>
  <c r="E4" i="18"/>
  <c r="K38" i="32"/>
  <c r="J30" i="32"/>
  <c r="C30" i="32"/>
  <c r="F23" i="32"/>
  <c r="I38" i="32"/>
  <c r="J38" i="32"/>
  <c r="I30" i="32"/>
  <c r="E22" i="32"/>
  <c r="D38" i="32"/>
  <c r="E38" i="32"/>
  <c r="H29" i="32"/>
  <c r="B22" i="32"/>
  <c r="C23" i="32"/>
  <c r="C38" i="32"/>
  <c r="K29" i="32"/>
  <c r="K30" i="32"/>
  <c r="F22" i="32"/>
  <c r="G22" i="32"/>
  <c r="F30" i="32"/>
  <c r="J22" i="32"/>
  <c r="K23" i="32"/>
  <c r="G30" i="32"/>
  <c r="D22" i="32"/>
  <c r="D23" i="32"/>
  <c r="E23" i="32"/>
  <c r="H38" i="32"/>
  <c r="H23" i="32"/>
  <c r="C22" i="32"/>
  <c r="B38" i="32"/>
  <c r="B23" i="32"/>
  <c r="F29" i="32"/>
  <c r="G29" i="32"/>
  <c r="I22" i="32"/>
  <c r="B29" i="32"/>
  <c r="K22" i="32"/>
  <c r="H22" i="32"/>
  <c r="J23" i="32"/>
  <c r="D30" i="32"/>
  <c r="E30" i="32"/>
  <c r="G23" i="32"/>
  <c r="J29" i="32"/>
  <c r="I23" i="32"/>
  <c r="E29" i="32"/>
  <c r="D29" i="32"/>
  <c r="F38" i="32"/>
  <c r="G38" i="32"/>
  <c r="I29" i="32"/>
  <c r="H30" i="32"/>
  <c r="C29" i="32"/>
  <c r="B30" i="32"/>
  <c r="M66" i="32"/>
  <c r="N14" i="30"/>
  <c r="N14" i="28"/>
  <c r="B22" i="28" s="1"/>
  <c r="N13" i="28"/>
  <c r="M66" i="30"/>
  <c r="M65" i="32"/>
  <c r="L64" i="32"/>
  <c r="M65" i="30"/>
  <c r="L64" i="30"/>
  <c r="M65" i="28"/>
  <c r="L64" i="28"/>
  <c r="M66" i="28"/>
  <c r="AI28" i="18"/>
  <c r="E12" i="18" s="1"/>
  <c r="M65" i="23"/>
  <c r="L64" i="23"/>
  <c r="M66" i="23"/>
  <c r="L22" i="23"/>
  <c r="E5" i="18"/>
  <c r="L11" i="18"/>
  <c r="B12" i="18"/>
  <c r="H30" i="28" l="1"/>
  <c r="B30" i="28"/>
  <c r="G29" i="28"/>
  <c r="D29" i="28"/>
  <c r="C30" i="28"/>
  <c r="C29" i="28"/>
  <c r="H29" i="28"/>
  <c r="I22" i="28"/>
  <c r="I29" i="28"/>
  <c r="F30" i="28"/>
  <c r="B29" i="28"/>
  <c r="J22" i="28"/>
  <c r="B38" i="28"/>
  <c r="K29" i="28"/>
  <c r="AI14" i="18"/>
  <c r="L12" i="18"/>
  <c r="M12" i="18"/>
  <c r="G16" i="13"/>
  <c r="G24" i="13" s="1"/>
  <c r="M11" i="29"/>
  <c r="G17" i="13"/>
  <c r="M11" i="31"/>
  <c r="G15" i="13"/>
  <c r="G23" i="13" s="1"/>
  <c r="M11" i="27"/>
  <c r="L23" i="32"/>
  <c r="L22" i="32"/>
  <c r="G29" i="30"/>
  <c r="F38" i="30"/>
  <c r="E23" i="30"/>
  <c r="H22" i="30"/>
  <c r="F23" i="30"/>
  <c r="E22" i="30"/>
  <c r="I38" i="30"/>
  <c r="D38" i="30"/>
  <c r="E30" i="30"/>
  <c r="G38" i="30"/>
  <c r="I22" i="30"/>
  <c r="G23" i="30"/>
  <c r="H29" i="30"/>
  <c r="D30" i="30"/>
  <c r="G22" i="30"/>
  <c r="J22" i="30"/>
  <c r="H23" i="30"/>
  <c r="B29" i="30"/>
  <c r="J29" i="30"/>
  <c r="I29" i="30"/>
  <c r="D22" i="30"/>
  <c r="C22" i="30"/>
  <c r="K22" i="30"/>
  <c r="I23" i="30"/>
  <c r="C29" i="30"/>
  <c r="H30" i="30"/>
  <c r="B38" i="30"/>
  <c r="C23" i="30"/>
  <c r="B23" i="30"/>
  <c r="J23" i="30"/>
  <c r="D29" i="30"/>
  <c r="B30" i="30"/>
  <c r="K29" i="30"/>
  <c r="G30" i="30"/>
  <c r="F29" i="30"/>
  <c r="K23" i="30"/>
  <c r="E29" i="30"/>
  <c r="C30" i="30"/>
  <c r="K30" i="30"/>
  <c r="J30" i="30"/>
  <c r="E38" i="30"/>
  <c r="K38" i="30"/>
  <c r="C38" i="30"/>
  <c r="I30" i="30"/>
  <c r="J38" i="30"/>
  <c r="D23" i="30"/>
  <c r="H38" i="30"/>
  <c r="F22" i="30"/>
  <c r="F30" i="30"/>
  <c r="B22" i="30"/>
  <c r="G22" i="28"/>
  <c r="J29" i="28"/>
  <c r="C38" i="28"/>
  <c r="I23" i="28"/>
  <c r="B23" i="28"/>
  <c r="K23" i="28"/>
  <c r="F29" i="28"/>
  <c r="H23" i="28"/>
  <c r="H38" i="28"/>
  <c r="K38" i="28"/>
  <c r="J38" i="28"/>
  <c r="E29" i="28"/>
  <c r="F38" i="28"/>
  <c r="G30" i="28"/>
  <c r="K22" i="28"/>
  <c r="D22" i="28"/>
  <c r="C23" i="28"/>
  <c r="D23" i="28"/>
  <c r="J30" i="28"/>
  <c r="E23" i="28"/>
  <c r="C22" i="28"/>
  <c r="D38" i="28"/>
  <c r="J23" i="28"/>
  <c r="E22" i="28"/>
  <c r="I30" i="28"/>
  <c r="E30" i="28"/>
  <c r="D30" i="28"/>
  <c r="F22" i="28"/>
  <c r="E38" i="28"/>
  <c r="G38" i="28"/>
  <c r="G23" i="28"/>
  <c r="K30" i="28"/>
  <c r="H22" i="28"/>
  <c r="F23" i="28"/>
  <c r="I38" i="28"/>
  <c r="M64" i="32"/>
  <c r="I67" i="32"/>
  <c r="J67" i="32"/>
  <c r="K67" i="32"/>
  <c r="C68" i="32"/>
  <c r="F68" i="32"/>
  <c r="G68" i="32"/>
  <c r="J68" i="32"/>
  <c r="I68" i="32"/>
  <c r="K68" i="32"/>
  <c r="H68" i="32"/>
  <c r="C67" i="32"/>
  <c r="G67" i="32"/>
  <c r="B68" i="32"/>
  <c r="D68" i="32"/>
  <c r="H67" i="32"/>
  <c r="F67" i="32"/>
  <c r="E68" i="32"/>
  <c r="D67" i="32"/>
  <c r="E67" i="32"/>
  <c r="B67" i="32"/>
  <c r="M64" i="30"/>
  <c r="I67" i="30"/>
  <c r="E68" i="30"/>
  <c r="J67" i="30"/>
  <c r="F68" i="30"/>
  <c r="G68" i="30"/>
  <c r="K67" i="30"/>
  <c r="D68" i="30"/>
  <c r="H67" i="30"/>
  <c r="I68" i="30"/>
  <c r="J68" i="30"/>
  <c r="K68" i="30"/>
  <c r="C68" i="30"/>
  <c r="D67" i="30"/>
  <c r="B67" i="30"/>
  <c r="H68" i="30"/>
  <c r="B68" i="30"/>
  <c r="F67" i="30"/>
  <c r="G67" i="30"/>
  <c r="C67" i="30"/>
  <c r="E67" i="30"/>
  <c r="M64" i="28"/>
  <c r="K68" i="28"/>
  <c r="E68" i="28"/>
  <c r="F68" i="28"/>
  <c r="H67" i="28"/>
  <c r="I67" i="28"/>
  <c r="J67" i="28"/>
  <c r="K67" i="28"/>
  <c r="H68" i="28"/>
  <c r="C68" i="28"/>
  <c r="G68" i="28"/>
  <c r="I68" i="28"/>
  <c r="J68" i="28"/>
  <c r="C67" i="28"/>
  <c r="B68" i="28"/>
  <c r="F67" i="28"/>
  <c r="D68" i="28"/>
  <c r="G67" i="28"/>
  <c r="D67" i="28"/>
  <c r="B67" i="28"/>
  <c r="E67" i="28"/>
  <c r="M64" i="23"/>
  <c r="F68" i="23"/>
  <c r="I67" i="23"/>
  <c r="J67" i="23"/>
  <c r="K67" i="23"/>
  <c r="H68" i="23"/>
  <c r="G68" i="23"/>
  <c r="C68" i="23"/>
  <c r="D68" i="23"/>
  <c r="I68" i="23"/>
  <c r="J68" i="23"/>
  <c r="K68" i="23"/>
  <c r="E67" i="23"/>
  <c r="H67" i="23"/>
  <c r="D67" i="23"/>
  <c r="E68" i="23"/>
  <c r="B68" i="23"/>
  <c r="B67" i="23"/>
  <c r="G67" i="23"/>
  <c r="F67" i="23"/>
  <c r="C67" i="23"/>
  <c r="L22" i="28" l="1"/>
  <c r="L22" i="30"/>
  <c r="L23" i="30"/>
  <c r="L23" i="28"/>
  <c r="M8" i="13"/>
  <c r="M10" i="13" l="1"/>
  <c r="M7" i="13"/>
  <c r="M9" i="13"/>
  <c r="F25" i="13" l="1"/>
  <c r="J25" i="13"/>
  <c r="I25" i="13"/>
  <c r="L25" i="13"/>
  <c r="K25" i="13"/>
  <c r="H25" i="13"/>
  <c r="E25" i="13"/>
  <c r="D25" i="13"/>
  <c r="J24" i="13"/>
  <c r="L24" i="13"/>
  <c r="K24" i="13"/>
  <c r="I24" i="13"/>
  <c r="H24" i="13"/>
  <c r="E24" i="13"/>
  <c r="D24" i="13"/>
  <c r="C24" i="13" l="1"/>
  <c r="G25" i="13"/>
  <c r="K23" i="13"/>
  <c r="J23" i="13"/>
  <c r="E23" i="13"/>
  <c r="L23" i="13" l="1"/>
  <c r="M16" i="13"/>
  <c r="M17" i="13"/>
  <c r="C25" i="13"/>
  <c r="M14" i="13" l="1"/>
  <c r="D23" i="13"/>
  <c r="M15" i="13"/>
  <c r="M12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Enrique Hernandez Cárdenas</author>
    <author>Marian del Carmen Evans</author>
  </authors>
  <commentList>
    <comment ref="T6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Enrique Hernandez Cárdenas:</t>
        </r>
        <r>
          <rPr>
            <sz val="9"/>
            <color indexed="81"/>
            <rFont val="Tahoma"/>
            <family val="2"/>
          </rPr>
          <t xml:space="preserve">
ES EL UNICO QUE SE P ONE EN VALORES DEBIDO A SU COMPONETE MIXTO DE DOS DISTRIBUIDORAS
</t>
        </r>
      </text>
    </comment>
    <comment ref="K154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Marian del Carmen Evans:</t>
        </r>
        <r>
          <rPr>
            <sz val="9"/>
            <color indexed="81"/>
            <rFont val="Tahoma"/>
            <family val="2"/>
          </rPr>
          <t xml:space="preserve">
cambio de capacidad de 57.85 a 97.7 por entrada de una nueva nave según nota de ACP a partir de enero 2022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Jorge Medina</author>
  </authors>
  <commentList>
    <comment ref="H4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Jorge Medina:</t>
        </r>
        <r>
          <rPr>
            <sz val="9"/>
            <color indexed="81"/>
            <rFont val="Tahoma"/>
            <family val="2"/>
          </rPr>
          <t xml:space="preserve">
chitre 
penonome 
santiago</t>
        </r>
      </text>
    </comment>
    <comment ref="H4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Jorge Medina:</t>
        </r>
        <r>
          <rPr>
            <sz val="9"/>
            <color indexed="81"/>
            <rFont val="Tahoma"/>
            <family val="2"/>
          </rPr>
          <t xml:space="preserve">
el torno
burunga
chorrera</t>
        </r>
      </text>
    </comment>
    <comment ref="H4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Jorge Medina:</t>
        </r>
        <r>
          <rPr>
            <sz val="9"/>
            <color indexed="81"/>
            <rFont val="Tahoma"/>
            <family val="2"/>
          </rPr>
          <t xml:space="preserve">
plaza italia</t>
        </r>
      </text>
    </comment>
    <comment ref="H6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Jorge Medina:</t>
        </r>
        <r>
          <rPr>
            <sz val="9"/>
            <color indexed="81"/>
            <rFont val="Tahoma"/>
            <family val="2"/>
          </rPr>
          <t xml:space="preserve">
Vporr
Ptapac
tmuert
albrook
Sanfco</t>
        </r>
      </text>
    </comment>
    <comment ref="H69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Jorge Medina:</t>
        </r>
        <r>
          <rPr>
            <sz val="9"/>
            <color indexed="81"/>
            <rFont val="Tahoma"/>
            <family val="2"/>
          </rPr>
          <t xml:space="preserve">
Pzatoc
faro
costae
pgolf
dona
pzacar</t>
        </r>
      </text>
    </comment>
    <comment ref="H7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Jorge Medina:</t>
        </r>
        <r>
          <rPr>
            <sz val="9"/>
            <color indexed="81"/>
            <rFont val="Tahoma"/>
            <family val="2"/>
          </rPr>
          <t xml:space="preserve">
en datos enviados por ensa (el valor no apareces), y el indicativo de demanda informa que es 0</t>
        </r>
      </text>
    </comment>
    <comment ref="H8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Jorge Medina:</t>
        </r>
        <r>
          <rPr>
            <sz val="9"/>
            <color indexed="81"/>
            <rFont val="Tahoma"/>
            <family val="2"/>
          </rPr>
          <t xml:space="preserve">
col2k
porto</t>
        </r>
      </text>
    </comment>
    <comment ref="H8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Jorge Medina:</t>
        </r>
        <r>
          <rPr>
            <sz val="9"/>
            <color indexed="81"/>
            <rFont val="Tahoma"/>
            <family val="2"/>
          </rPr>
          <t xml:space="preserve">
informe cnd muestra eb n el indicativo de demanda, su proyeccion es 0 demanda no coincidente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Jorge Medina</author>
  </authors>
  <commentList>
    <comment ref="H4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Jorge Medina:</t>
        </r>
        <r>
          <rPr>
            <sz val="9"/>
            <color indexed="81"/>
            <rFont val="Tahoma"/>
            <family val="2"/>
          </rPr>
          <t xml:space="preserve">
chitre 
penonome 
santiago</t>
        </r>
      </text>
    </comment>
    <comment ref="H47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Jorge Medina:</t>
        </r>
        <r>
          <rPr>
            <sz val="9"/>
            <color indexed="81"/>
            <rFont val="Tahoma"/>
            <family val="2"/>
          </rPr>
          <t xml:space="preserve">
el torno
burunga
chorrera</t>
        </r>
      </text>
    </comment>
    <comment ref="H49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Jorge Medina:</t>
        </r>
        <r>
          <rPr>
            <sz val="9"/>
            <color indexed="81"/>
            <rFont val="Tahoma"/>
            <family val="2"/>
          </rPr>
          <t xml:space="preserve">
plaza italia</t>
        </r>
      </text>
    </comment>
    <comment ref="H6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Jorge Medina:</t>
        </r>
        <r>
          <rPr>
            <sz val="9"/>
            <color indexed="81"/>
            <rFont val="Tahoma"/>
            <family val="2"/>
          </rPr>
          <t xml:space="preserve">
Vporr
Ptapac
tmuert
albrook
Sanfco</t>
        </r>
      </text>
    </comment>
    <comment ref="H69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Jorge Medina:</t>
        </r>
        <r>
          <rPr>
            <sz val="9"/>
            <color indexed="81"/>
            <rFont val="Tahoma"/>
            <family val="2"/>
          </rPr>
          <t xml:space="preserve">
Pzatoc
faro
costae
pgolf
dona
pzacar</t>
        </r>
      </text>
    </comment>
    <comment ref="H7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Jorge Medina:</t>
        </r>
        <r>
          <rPr>
            <sz val="9"/>
            <color indexed="81"/>
            <rFont val="Tahoma"/>
            <family val="2"/>
          </rPr>
          <t xml:space="preserve">
en datos enviados por ensa (el valor no apareces), y el indicativo de demanda informa que es 0</t>
        </r>
      </text>
    </comment>
    <comment ref="H8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Jorge Medina:</t>
        </r>
        <r>
          <rPr>
            <sz val="9"/>
            <color indexed="81"/>
            <rFont val="Tahoma"/>
            <family val="2"/>
          </rPr>
          <t xml:space="preserve">
col2k
porto</t>
        </r>
      </text>
    </comment>
    <comment ref="H8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Jorge Medina:</t>
        </r>
        <r>
          <rPr>
            <sz val="9"/>
            <color indexed="81"/>
            <rFont val="Tahoma"/>
            <family val="2"/>
          </rPr>
          <t xml:space="preserve">
informe cnd muestra eb n el indicativo de demanda, su proyeccion es 0 demanda no coincidente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Jorge Medina</author>
  </authors>
  <commentList>
    <comment ref="H40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Jorge Medina:</t>
        </r>
        <r>
          <rPr>
            <sz val="9"/>
            <color indexed="81"/>
            <rFont val="Tahoma"/>
            <family val="2"/>
          </rPr>
          <t xml:space="preserve">
chitre 
penonome 
santiago</t>
        </r>
      </text>
    </comment>
    <comment ref="H47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Jorge Medina:</t>
        </r>
        <r>
          <rPr>
            <sz val="9"/>
            <color indexed="81"/>
            <rFont val="Tahoma"/>
            <family val="2"/>
          </rPr>
          <t xml:space="preserve">
el torno
burunga
chorrera</t>
        </r>
      </text>
    </comment>
    <comment ref="H49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Jorge Medina:</t>
        </r>
        <r>
          <rPr>
            <sz val="9"/>
            <color indexed="81"/>
            <rFont val="Tahoma"/>
            <family val="2"/>
          </rPr>
          <t xml:space="preserve">
plaza italia</t>
        </r>
      </text>
    </comment>
    <comment ref="H61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Jorge Medina:</t>
        </r>
        <r>
          <rPr>
            <sz val="9"/>
            <color indexed="81"/>
            <rFont val="Tahoma"/>
            <family val="2"/>
          </rPr>
          <t xml:space="preserve">
Vporr
Ptapac
tmuert
albrook
Sanfco</t>
        </r>
      </text>
    </comment>
    <comment ref="H69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Jorge Medina:</t>
        </r>
        <r>
          <rPr>
            <sz val="9"/>
            <color indexed="81"/>
            <rFont val="Tahoma"/>
            <family val="2"/>
          </rPr>
          <t xml:space="preserve">
Pzatoc
faro
costae
pgolf
dona
pzacar</t>
        </r>
      </text>
    </comment>
    <comment ref="H73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Jorge Medina:</t>
        </r>
        <r>
          <rPr>
            <sz val="9"/>
            <color indexed="81"/>
            <rFont val="Tahoma"/>
            <family val="2"/>
          </rPr>
          <t xml:space="preserve">
en datos enviados por ensa (el valor no apareces), y el indicativo de demanda informa que es 0</t>
        </r>
      </text>
    </comment>
    <comment ref="H80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Jorge Medina:</t>
        </r>
        <r>
          <rPr>
            <sz val="9"/>
            <color indexed="81"/>
            <rFont val="Tahoma"/>
            <family val="2"/>
          </rPr>
          <t xml:space="preserve">
col2k
porto</t>
        </r>
      </text>
    </comment>
    <comment ref="H81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Jorge Medina:</t>
        </r>
        <r>
          <rPr>
            <sz val="9"/>
            <color indexed="81"/>
            <rFont val="Tahoma"/>
            <family val="2"/>
          </rPr>
          <t xml:space="preserve">
informe cnd muestra eb n el indicativo de demanda, su proyeccion es 0 demanda no coincidente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MES</author>
  </authors>
  <commentList>
    <comment ref="B3" authorId="0" shapeId="0" xr:uid="{00000000-0006-0000-0500-000001000000}">
      <text>
        <r>
          <rPr>
            <sz val="9"/>
            <color indexed="81"/>
            <rFont val="Tahoma"/>
            <family val="2"/>
          </rPr>
          <t>Se actualiza desde "1. DatosFijos.xls"</t>
        </r>
      </text>
    </comment>
    <comment ref="B7" authorId="0" shapeId="0" xr:uid="{00000000-0006-0000-0500-000002000000}">
      <text>
        <r>
          <rPr>
            <sz val="9"/>
            <color indexed="81"/>
            <rFont val="Tahoma"/>
            <family val="2"/>
          </rPr>
          <t>Se actualiza desde "1. DatosFijos.xls"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MES</author>
  </authors>
  <commentList>
    <comment ref="B3" authorId="0" shapeId="0" xr:uid="{00000000-0006-0000-0600-000001000000}">
      <text>
        <r>
          <rPr>
            <sz val="9"/>
            <color indexed="81"/>
            <rFont val="Tahoma"/>
            <family val="2"/>
          </rPr>
          <t>Se actualiza desde "1. DatosFijos.xls"</t>
        </r>
      </text>
    </comment>
    <comment ref="B7" authorId="0" shapeId="0" xr:uid="{00000000-0006-0000-0600-000002000000}">
      <text>
        <r>
          <rPr>
            <sz val="9"/>
            <color indexed="81"/>
            <rFont val="Tahoma"/>
            <family val="2"/>
          </rPr>
          <t>Se actualiza desde "1. DatosFijos.xls"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MES</author>
  </authors>
  <commentList>
    <comment ref="B3" authorId="0" shapeId="0" xr:uid="{00000000-0006-0000-0700-000001000000}">
      <text>
        <r>
          <rPr>
            <sz val="9"/>
            <color indexed="81"/>
            <rFont val="Tahoma"/>
            <family val="2"/>
          </rPr>
          <t>Se actualiza desde "1. DatosFijos.xls"</t>
        </r>
      </text>
    </comment>
    <comment ref="B7" authorId="0" shapeId="0" xr:uid="{00000000-0006-0000-0700-000002000000}">
      <text>
        <r>
          <rPr>
            <sz val="9"/>
            <color indexed="81"/>
            <rFont val="Tahoma"/>
            <family val="2"/>
          </rPr>
          <t>Se actualiza desde "1. DatosFijos.xls"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MES</author>
  </authors>
  <commentList>
    <comment ref="B3" authorId="0" shapeId="0" xr:uid="{00000000-0006-0000-0800-000001000000}">
      <text>
        <r>
          <rPr>
            <sz val="9"/>
            <color indexed="81"/>
            <rFont val="Tahoma"/>
            <family val="2"/>
          </rPr>
          <t>Se actualiza desde "1. DatosFijos.xls"</t>
        </r>
      </text>
    </comment>
    <comment ref="B7" authorId="0" shapeId="0" xr:uid="{00000000-0006-0000-0800-000002000000}">
      <text>
        <r>
          <rPr>
            <sz val="9"/>
            <color indexed="81"/>
            <rFont val="Tahoma"/>
            <family val="2"/>
          </rPr>
          <t>Se actualiza desde "1. DatosFijos.xls"</t>
        </r>
      </text>
    </comment>
  </commentList>
</comments>
</file>

<file path=xl/sharedStrings.xml><?xml version="1.0" encoding="utf-8"?>
<sst xmlns="http://schemas.openxmlformats.org/spreadsheetml/2006/main" count="1443" uniqueCount="395">
  <si>
    <t>Año Tarifario:</t>
  </si>
  <si>
    <t>2021-2022</t>
  </si>
  <si>
    <t>IPSPA: Nuevas Inversiones (por Estampilla Postal)</t>
  </si>
  <si>
    <t>IPSPEGyD  (k B/.)</t>
  </si>
  <si>
    <t>Longitud  (km)</t>
  </si>
  <si>
    <t>CU</t>
  </si>
  <si>
    <t>Total:</t>
  </si>
  <si>
    <t>(kB/./km)</t>
  </si>
  <si>
    <t>IPSPAGyD:</t>
  </si>
  <si>
    <t>(k B/.)</t>
  </si>
  <si>
    <t>%ASIGP (G) =</t>
  </si>
  <si>
    <t xml:space="preserve">230 kV </t>
  </si>
  <si>
    <t>%ASIGP (D) =</t>
  </si>
  <si>
    <t xml:space="preserve">115 kV </t>
  </si>
  <si>
    <r>
      <rPr>
        <b/>
        <i/>
        <sz val="10"/>
        <color indexed="63"/>
        <rFont val="Times New Roman"/>
        <family val="1"/>
      </rPr>
      <t>Energía Estimada</t>
    </r>
    <r>
      <rPr>
        <i/>
        <sz val="10"/>
        <color indexed="63"/>
        <rFont val="Times New Roman"/>
        <family val="1"/>
      </rPr>
      <t xml:space="preserve"> (indicativo demanda) =</t>
    </r>
  </si>
  <si>
    <t>(GWh)</t>
  </si>
  <si>
    <t>IPSPED (k B/.):</t>
  </si>
  <si>
    <t>IPSPAD:</t>
  </si>
  <si>
    <t>Generación =</t>
  </si>
  <si>
    <r>
      <t xml:space="preserve">Capacidad instalada de generación </t>
    </r>
    <r>
      <rPr>
        <sz val="10"/>
        <color indexed="56"/>
        <rFont val="Times New Roman"/>
        <family val="1"/>
      </rPr>
      <t xml:space="preserve">(Pinst) y </t>
    </r>
    <r>
      <rPr>
        <b/>
        <sz val="10"/>
        <color indexed="56"/>
        <rFont val="Times New Roman"/>
        <family val="1"/>
      </rPr>
      <t>Demanda máxima no coincidente</t>
    </r>
    <r>
      <rPr>
        <sz val="10"/>
        <color indexed="56"/>
        <rFont val="Times New Roman"/>
        <family val="1"/>
      </rPr>
      <t xml:space="preserve"> prevista anual (Pma) en MW por Zona</t>
    </r>
  </si>
  <si>
    <t>ZONA</t>
  </si>
  <si>
    <t>Total</t>
  </si>
  <si>
    <t>Pinst (G)</t>
  </si>
  <si>
    <t>Pma (D)</t>
  </si>
  <si>
    <t xml:space="preserve">   Capacidad Instalada  (MW)</t>
  </si>
  <si>
    <t xml:space="preserve">   Demanda Máxima No Coincidente  (MW)</t>
  </si>
  <si>
    <t>Zona</t>
  </si>
  <si>
    <t>Nodo</t>
  </si>
  <si>
    <t>Mes de Ingreso</t>
  </si>
  <si>
    <t>max</t>
  </si>
  <si>
    <t>Baitún</t>
  </si>
  <si>
    <t>EDECHI</t>
  </si>
  <si>
    <t>Bajo de Mina</t>
  </si>
  <si>
    <t>Progreso T1 y T2</t>
  </si>
  <si>
    <t>La Potra</t>
  </si>
  <si>
    <t>Charco Azul</t>
  </si>
  <si>
    <t>Salsipuedes</t>
  </si>
  <si>
    <t>…</t>
  </si>
  <si>
    <t xml:space="preserve">San Andrés </t>
  </si>
  <si>
    <t>Sol de David</t>
  </si>
  <si>
    <t>Solar Caldera</t>
  </si>
  <si>
    <t>PHOTOVOLTAICS INVESTMENTS</t>
  </si>
  <si>
    <t>PHOTOVOLTAICS DEVELOPMENTS</t>
  </si>
  <si>
    <t>Caldera 115-19</t>
  </si>
  <si>
    <t>Progreso Solar 20MW, S.A.</t>
  </si>
  <si>
    <t>Generadora Solar Austral, S.A.</t>
  </si>
  <si>
    <t>Parque fot Econer San Juan</t>
  </si>
  <si>
    <t>Progreso Energy</t>
  </si>
  <si>
    <t>Mata Nance 34-9</t>
  </si>
  <si>
    <t>Generadora Solar el Puerto, S.A.</t>
  </si>
  <si>
    <t xml:space="preserve">Mata Nance 34-10/11/15 </t>
  </si>
  <si>
    <t xml:space="preserve"> Agua FUERTE, S.A.</t>
  </si>
  <si>
    <t xml:space="preserve"> PHOTOVOLTAICS VENTURE CORP.</t>
  </si>
  <si>
    <t>PHOTOVOLTAICS OPERATION CORP.</t>
  </si>
  <si>
    <t>EDEMET</t>
  </si>
  <si>
    <t>PHOTOVOLTAICS BUSINESS CORP.</t>
  </si>
  <si>
    <t>Llano Sánchez y El Higo</t>
  </si>
  <si>
    <t>GRANDES CLIENTES</t>
  </si>
  <si>
    <t>Fortuna</t>
  </si>
  <si>
    <t>Super 99</t>
  </si>
  <si>
    <t>Estí</t>
  </si>
  <si>
    <t>Varela (Fábrica de Pesé)</t>
  </si>
  <si>
    <t>Gualaca</t>
  </si>
  <si>
    <t>sunstar</t>
  </si>
  <si>
    <t>Lorena</t>
  </si>
  <si>
    <t>MINERA PANAMá</t>
  </si>
  <si>
    <t>Prudencia</t>
  </si>
  <si>
    <t>Minera Panamá</t>
  </si>
  <si>
    <t>CELSOLAR, S.A.</t>
  </si>
  <si>
    <t>La Estrella</t>
  </si>
  <si>
    <t>Panamá Oeste</t>
  </si>
  <si>
    <t>Los Valles</t>
  </si>
  <si>
    <t>Mendre</t>
  </si>
  <si>
    <t>Cochea</t>
  </si>
  <si>
    <t>Cemento Interoceánico</t>
  </si>
  <si>
    <t>Mendre II</t>
  </si>
  <si>
    <t>Algarrobos</t>
  </si>
  <si>
    <t>ENSA</t>
  </si>
  <si>
    <t>Panamá</t>
  </si>
  <si>
    <t>Concepción</t>
  </si>
  <si>
    <t>Panamá 2</t>
  </si>
  <si>
    <t>Macano</t>
  </si>
  <si>
    <t>24 de Diciembre</t>
  </si>
  <si>
    <t>Paso Ancho</t>
  </si>
  <si>
    <t>Los Planetas</t>
  </si>
  <si>
    <t>Pedregalito</t>
  </si>
  <si>
    <t>Pedregalito II</t>
  </si>
  <si>
    <t>RP-490</t>
  </si>
  <si>
    <t>CEMEX</t>
  </si>
  <si>
    <t>Macho de Monte</t>
  </si>
  <si>
    <t>Contraloría</t>
  </si>
  <si>
    <t>Dolega</t>
  </si>
  <si>
    <t>Las Perlas Norte</t>
  </si>
  <si>
    <t>General Mills</t>
  </si>
  <si>
    <t>Las Perlas Sur</t>
  </si>
  <si>
    <t>AVIPAC</t>
  </si>
  <si>
    <t>San Lorenzo</t>
  </si>
  <si>
    <t>Embajada de Estados Unidos</t>
  </si>
  <si>
    <t>Monte Lirio</t>
  </si>
  <si>
    <t>CSS (CHAAM)</t>
  </si>
  <si>
    <t xml:space="preserve">Pando </t>
  </si>
  <si>
    <t>Varela (Cía. Panameña de Licores)</t>
  </si>
  <si>
    <t>Bugaba I</t>
  </si>
  <si>
    <t>Bugaba II</t>
  </si>
  <si>
    <t>El Alto</t>
  </si>
  <si>
    <t>Bajo del Totumo</t>
  </si>
  <si>
    <t>Los Planetas II</t>
  </si>
  <si>
    <t>Bayano (Cañitas-Aserradero)</t>
  </si>
  <si>
    <t>Solar Chiriqui</t>
  </si>
  <si>
    <t xml:space="preserve">Las Cruces </t>
  </si>
  <si>
    <t>Barro Blanco</t>
  </si>
  <si>
    <t>Solar Bugaba</t>
  </si>
  <si>
    <t>Colón</t>
  </si>
  <si>
    <t>La Cuchilla</t>
  </si>
  <si>
    <t>ECO GROOVE INVESTMENT, INC.</t>
  </si>
  <si>
    <t>Argos Panamá, S.A.</t>
  </si>
  <si>
    <t>SOLAR BOQUERON S.A.</t>
  </si>
  <si>
    <t>Tecnisol I, S.A.</t>
  </si>
  <si>
    <t>Gas Natural Atlántico</t>
  </si>
  <si>
    <t>Tecnisol II, S.A.</t>
  </si>
  <si>
    <t>Tecnisol III, S.A.</t>
  </si>
  <si>
    <t>Tecnisol IV, S.A.</t>
  </si>
  <si>
    <t>Caoba Solar</t>
  </si>
  <si>
    <t>PTP-Cañazas</t>
  </si>
  <si>
    <t>Cedro Solar</t>
  </si>
  <si>
    <t xml:space="preserve">OER (Changuinola) </t>
  </si>
  <si>
    <t>Central Azucarero de Alanje, S.A.</t>
  </si>
  <si>
    <t>Pedregalito I Unidad 4</t>
  </si>
  <si>
    <t>Pedregalito II  Unidad 3</t>
  </si>
  <si>
    <t>RP-550</t>
  </si>
  <si>
    <t>Andreas Power Energy, S.A</t>
  </si>
  <si>
    <t>ECOENER FOTOVOLTAICA PANAMA</t>
  </si>
  <si>
    <t>HP Solar, S.A.</t>
  </si>
  <si>
    <t xml:space="preserve"> ECOENER RENOVABLE PANAMA, S.A</t>
  </si>
  <si>
    <t>SOLAR DESIGN</t>
  </si>
  <si>
    <t>El Fraile</t>
  </si>
  <si>
    <t>El Fraile Und 3</t>
  </si>
  <si>
    <t>La Yeguada</t>
  </si>
  <si>
    <t>Don Felix</t>
  </si>
  <si>
    <t>Don Felix Et2</t>
  </si>
  <si>
    <t>Solar Divisa</t>
  </si>
  <si>
    <t>Farrallon Solar</t>
  </si>
  <si>
    <t>El Fraile Solar 1</t>
  </si>
  <si>
    <t>Solar Cocle</t>
  </si>
  <si>
    <t>Solar Paris</t>
  </si>
  <si>
    <t>Solar Los Angeles</t>
  </si>
  <si>
    <t>Sol Real</t>
  </si>
  <si>
    <t>El Espinal</t>
  </si>
  <si>
    <t>Vista Alegre</t>
  </si>
  <si>
    <t>Milton Solar</t>
  </si>
  <si>
    <t>Nuevo Chagres</t>
  </si>
  <si>
    <t>Marañón</t>
  </si>
  <si>
    <t>Rosa de los vientos</t>
  </si>
  <si>
    <t>Nuevo Chagres 2</t>
  </si>
  <si>
    <t>Portobelo</t>
  </si>
  <si>
    <t>Rosa de los Vientos Etapa II</t>
  </si>
  <si>
    <t>Pocri</t>
  </si>
  <si>
    <t>Estrella Solar</t>
  </si>
  <si>
    <t>PANASOLAR</t>
  </si>
  <si>
    <t>SOLAR DEVELOPMENT PANAMÁ</t>
  </si>
  <si>
    <t>Mayorca Solar (AES)</t>
  </si>
  <si>
    <t>Solar Pesé (AES)</t>
  </si>
  <si>
    <t>Jagüito Solar 10 MW, S.A.</t>
  </si>
  <si>
    <t>Daconan Star Solar, S.A.</t>
  </si>
  <si>
    <t>Empresa de Generación Eléctrica, S.A.</t>
  </si>
  <si>
    <t>Parque eolico Toabre</t>
  </si>
  <si>
    <t>El Fraile II</t>
  </si>
  <si>
    <t>AES Panamá S.R.L</t>
  </si>
  <si>
    <t>ARGENTUM SOLAR S.A.</t>
  </si>
  <si>
    <t>Progresovidencia Solar 1, S.A.</t>
  </si>
  <si>
    <t>Farallón Solar 2, S.A.</t>
  </si>
  <si>
    <t>PANASOLAR GREEN ENERGY, CORP.</t>
  </si>
  <si>
    <t>PANASOLAR GREEN POWER, S.A.</t>
  </si>
  <si>
    <t>GED Gersol Uno, S.A.</t>
  </si>
  <si>
    <t>SOLAR ENERGY PARK ENTERPRISES, INC.</t>
  </si>
  <si>
    <t>ORO SOLAR, S.A.</t>
  </si>
  <si>
    <t>MEGA SOLAR POWER GENERATION, S.A.</t>
  </si>
  <si>
    <t xml:space="preserve"> MERCURIO SOLAR, S.A.</t>
  </si>
  <si>
    <t>SUNERGY, I S.A.</t>
  </si>
  <si>
    <t>Panam</t>
  </si>
  <si>
    <t>Antón</t>
  </si>
  <si>
    <t>Concepto Solar</t>
  </si>
  <si>
    <t>Electricidad Solar, S. A.</t>
  </si>
  <si>
    <t xml:space="preserve"> MASPV PANAMA INC.</t>
  </si>
  <si>
    <t>Miraflores</t>
  </si>
  <si>
    <t>Pacora</t>
  </si>
  <si>
    <t>URBALIA Cerro Patacon</t>
  </si>
  <si>
    <t>Generación Solar, S.A.</t>
  </si>
  <si>
    <t>Solpac Investment, S.A.</t>
  </si>
  <si>
    <t>Bayano</t>
  </si>
  <si>
    <t xml:space="preserve">BLM </t>
  </si>
  <si>
    <t>Cativá</t>
  </si>
  <si>
    <t>Termo-Colón Ciclo Combinado</t>
  </si>
  <si>
    <t>Costa Norte</t>
  </si>
  <si>
    <t>TROPITÉRMICA</t>
  </si>
  <si>
    <t>Sparkle Power, S. A.</t>
  </si>
  <si>
    <t>C.T. Gatún (antes Telfers)</t>
  </si>
  <si>
    <t>Changuinola</t>
  </si>
  <si>
    <t>Bonyic</t>
  </si>
  <si>
    <t>AT2</t>
  </si>
  <si>
    <t>AT3</t>
  </si>
  <si>
    <t>AT4</t>
  </si>
  <si>
    <t xml:space="preserve">El coco </t>
  </si>
  <si>
    <t>Mata Nance 34-9/10/11/15</t>
  </si>
  <si>
    <t>S/E San Cristobal</t>
  </si>
  <si>
    <t>Boqueron III 34-52</t>
  </si>
  <si>
    <t>Veladero 230/34.5</t>
  </si>
  <si>
    <t>super 99</t>
  </si>
  <si>
    <t>total</t>
  </si>
  <si>
    <t>Cocle Solar</t>
  </si>
  <si>
    <t xml:space="preserve">Parque Solar Penonomé </t>
  </si>
  <si>
    <t>2022-2023</t>
  </si>
  <si>
    <t>2024-2025</t>
  </si>
  <si>
    <t>PRELIMINARES ( a la espera de ser aprobado el Pliego Tarifario)</t>
  </si>
  <si>
    <t>Según Resolución AN No. 8068-Elec del 20 de noviembre de 2014</t>
  </si>
  <si>
    <t>Ingreso Total Previsto por CUSPT (Seguimiento Eléctrico + Estampilla Postal)  [ kB/. ]</t>
  </si>
  <si>
    <t>Zona:</t>
  </si>
  <si>
    <t>AT1</t>
  </si>
  <si>
    <t>GEN</t>
  </si>
  <si>
    <t>Capacidad Instalada de Generación (Cinst) [ MW ]</t>
  </si>
  <si>
    <t xml:space="preserve"> Cinst (G)</t>
  </si>
  <si>
    <t>CARGOS EQUIVALENTES PRELIMINARES</t>
  </si>
  <si>
    <t>CUSPT equivalentes  [ B/. / kW-mes ]</t>
  </si>
  <si>
    <t>CARGO EQUIVALENTE POR USO DEL SISTEMA DE TRANSMISIÓN PARA GENERADORES-PERIODO TARIFARIO 2021-2025</t>
  </si>
  <si>
    <t xml:space="preserve">Los Ingresos y las capacidades de los agentes generadores del Periodo Tarifario 2021-2025 son preliminares y están a la espera que sea aprobado el Pliego Tarifario de ETESA. </t>
  </si>
  <si>
    <t>CUP</t>
  </si>
  <si>
    <t>IPSPED:</t>
  </si>
  <si>
    <t>Mes Tarifario: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</si>
  <si>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</si>
  <si>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</si>
  <si>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</si>
  <si>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</si>
  <si>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</si>
  <si>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</si>
  <si>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</si>
  <si>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</si>
  <si>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</si>
  <si>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</si>
  <si>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</si>
  <si>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</si>
  <si>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</si>
  <si>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</si>
  <si>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</si>
  <si>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</si>
  <si>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</si>
  <si>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</si>
  <si>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</si>
  <si>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</si>
  <si>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</si>
  <si>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</si>
  <si>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</si>
  <si>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</si>
  <si>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Periodo Est.:</t>
  </si>
  <si>
    <t>Lluv.</t>
  </si>
  <si>
    <t>Seco</t>
  </si>
  <si>
    <t>Te (Hs/Mes):</t>
  </si>
  <si>
    <t>Te / 8760 =</t>
  </si>
  <si>
    <t>Principales Referencias</t>
  </si>
  <si>
    <t>Progreso Baitún</t>
  </si>
  <si>
    <t>Fortuna Guasquitas</t>
  </si>
  <si>
    <t>Caldera L.Estrella</t>
  </si>
  <si>
    <t>Mata Nance Boquerón 3</t>
  </si>
  <si>
    <t>Ll.Sánchez   El Higo</t>
  </si>
  <si>
    <t>Chorrera      Pan-Am</t>
  </si>
  <si>
    <t>Panamá Pacora</t>
  </si>
  <si>
    <t>Bayano Cañitas</t>
  </si>
  <si>
    <t>T.Colón L.Minas</t>
  </si>
  <si>
    <t>Changinola Cañazas</t>
  </si>
  <si>
    <t>Capacidad instalada de generación (Cinst) y Demanda máxima no coincidente prevista anual (Pma) en MW por Zona</t>
  </si>
  <si>
    <t>Cinst (G)</t>
  </si>
  <si>
    <t>Despacho de potencia promedio anual previsto (MW)</t>
  </si>
  <si>
    <t>Pg (G)</t>
  </si>
  <si>
    <t>Pd (D)</t>
  </si>
  <si>
    <t>Despacho de energia anual previsto por zona (GWh)</t>
  </si>
  <si>
    <t>Eg (G)</t>
  </si>
  <si>
    <t>Ed (D)</t>
  </si>
  <si>
    <r>
      <rPr>
        <b/>
        <sz val="10"/>
        <rFont val="Times New Roman"/>
        <family val="1"/>
      </rPr>
      <t>CXUSOPS  (B/. / MWh)</t>
    </r>
    <r>
      <rPr>
        <sz val="10"/>
        <rFont val="Times New Roman"/>
        <family val="1"/>
      </rPr>
      <t>:  Seg. Electrico x uso red</t>
    </r>
  </si>
  <si>
    <t>DEM</t>
  </si>
  <si>
    <r>
      <rPr>
        <b/>
        <sz val="10"/>
        <rFont val="Times New Roman"/>
        <family val="1"/>
      </rPr>
      <t>CXUSOPE  (B/. / kW)</t>
    </r>
    <r>
      <rPr>
        <sz val="10"/>
        <rFont val="Times New Roman"/>
        <family val="1"/>
      </rPr>
      <t>:  Est. Postal x capacidad remanente</t>
    </r>
  </si>
  <si>
    <t>GEN =</t>
  </si>
  <si>
    <t>DEM =</t>
  </si>
  <si>
    <r>
      <rPr>
        <b/>
        <sz val="10"/>
        <rFont val="Times New Roman"/>
        <family val="1"/>
      </rPr>
      <t>CXCADIC  (B/. / kW)</t>
    </r>
    <r>
      <rPr>
        <sz val="10"/>
        <rFont val="Times New Roman"/>
        <family val="1"/>
      </rPr>
      <t>:  Est. Postal x no pago zonas 6, 7 y 9</t>
    </r>
  </si>
  <si>
    <r>
      <rPr>
        <b/>
        <sz val="10"/>
        <rFont val="Times New Roman"/>
        <family val="1"/>
      </rPr>
      <t>CXUSODS  (B/. / MWh)</t>
    </r>
    <r>
      <rPr>
        <sz val="10"/>
        <rFont val="Times New Roman"/>
        <family val="1"/>
      </rPr>
      <t>:  Seg. Electrico x uso equipamiento asociado totalmente a la demanda</t>
    </r>
  </si>
  <si>
    <r>
      <rPr>
        <b/>
        <sz val="10"/>
        <rFont val="Times New Roman"/>
        <family val="1"/>
      </rPr>
      <t>CXUSODE  (B/. / kW)</t>
    </r>
    <r>
      <rPr>
        <sz val="10"/>
        <rFont val="Times New Roman"/>
        <family val="1"/>
      </rPr>
      <t>:  Est. Postal x equipamiento asociado totalmente a la demanda</t>
    </r>
  </si>
  <si>
    <t>TOTAL  CXUSO_S  (B/. / MWh):  Seg. Electrico</t>
  </si>
  <si>
    <t>TOTAL  CXUSO_E  (B/. / kW - año):  Est. Postal</t>
  </si>
  <si>
    <t>Recaudación prevista por cargos  (kB/.)</t>
  </si>
  <si>
    <t>CXUSOPS :  Seg. Electrico x uso red</t>
  </si>
  <si>
    <t>CXUSOPE:  Est. Postal x capacidad remanente</t>
  </si>
  <si>
    <t>CXUSOD:  cargos x equipamiento asociado totalmente a la demanda</t>
  </si>
  <si>
    <t>Seg.Elec.</t>
  </si>
  <si>
    <t>Est.Post.</t>
  </si>
  <si>
    <t>CADIC:  monto anual zonas 6, 7 y 9 equivalente al cargo adicional =</t>
  </si>
  <si>
    <t>TOTAL  (kB/.)</t>
  </si>
  <si>
    <t>Los Algarrobos</t>
  </si>
  <si>
    <t>(230 kV)</t>
  </si>
  <si>
    <t>GRANDES CLIENTES ENSA</t>
  </si>
  <si>
    <t>GRANDES CLIENTES EDEMET</t>
  </si>
  <si>
    <t xml:space="preserve">Pedregalito II + Pedregalito II  Unidad 3 </t>
  </si>
  <si>
    <t xml:space="preserve">Pedregalito + Pedregalito I Unidad 4 </t>
  </si>
  <si>
    <t>Bajo del Totuma</t>
  </si>
  <si>
    <t>*Madre Vieja</t>
  </si>
  <si>
    <t>* BACO Solar– (en construcción)</t>
  </si>
  <si>
    <t>*Sol de David</t>
  </si>
  <si>
    <t>*Solar Caldera</t>
  </si>
  <si>
    <t xml:space="preserve">*Fotovoltaica Ecosolar </t>
  </si>
  <si>
    <t xml:space="preserve">*Fotovoltaica Ecosolar 2 </t>
  </si>
  <si>
    <t>*La Esperanza solar</t>
  </si>
  <si>
    <t xml:space="preserve"> Agua FUERTE, S.A. </t>
  </si>
  <si>
    <t xml:space="preserve"> *PHOTOVOLTAICS VENTURE CORP. </t>
  </si>
  <si>
    <t xml:space="preserve">*PHOTOVOLTAICS OPERATION CORP. </t>
  </si>
  <si>
    <t xml:space="preserve">*PHOTOVOLTAICS BUSINESS CORP. </t>
  </si>
  <si>
    <t>(E) Parque fot Econer San Juan</t>
  </si>
  <si>
    <t xml:space="preserve">(E)Progreso Energy </t>
  </si>
  <si>
    <t xml:space="preserve">Estí </t>
  </si>
  <si>
    <t>Sunstar</t>
  </si>
  <si>
    <t>MINERA PANAMÁ</t>
  </si>
  <si>
    <t>*Solar Prudencia</t>
  </si>
  <si>
    <t>(Autogenerador)CADASA</t>
  </si>
  <si>
    <t>*Central Solar La Hueca</t>
  </si>
  <si>
    <t xml:space="preserve">Bugaba II </t>
  </si>
  <si>
    <t xml:space="preserve">Los Planetas II </t>
  </si>
  <si>
    <t>*Solar Chiriquí</t>
  </si>
  <si>
    <t>* Ikako</t>
  </si>
  <si>
    <t>*Ikako I</t>
  </si>
  <si>
    <t>* Ikako II</t>
  </si>
  <si>
    <t>* Ikako III</t>
  </si>
  <si>
    <t xml:space="preserve">*Caoba Solar </t>
  </si>
  <si>
    <t>*Cedro Solar</t>
  </si>
  <si>
    <t>Manzanillo International Terminal</t>
  </si>
  <si>
    <t xml:space="preserve">*HP Solar, S.A. </t>
  </si>
  <si>
    <t xml:space="preserve"> *ECOENER RENOVABLE PANAMA, S.A</t>
  </si>
  <si>
    <t xml:space="preserve">(E)Macho de Monte </t>
  </si>
  <si>
    <t>Cañazas</t>
  </si>
  <si>
    <t xml:space="preserve">(E)Dolega </t>
  </si>
  <si>
    <t>*(E)Solar Bugaba</t>
  </si>
  <si>
    <t>*(E)Macano Solar</t>
  </si>
  <si>
    <t>(E)Andreas Power</t>
  </si>
  <si>
    <t xml:space="preserve">*ECOENER FOTOVOLTAICA PANAMA </t>
  </si>
  <si>
    <t>El Fraile + El Fraile Und 3</t>
  </si>
  <si>
    <t xml:space="preserve">**Nuevo Chagres </t>
  </si>
  <si>
    <t xml:space="preserve">**Marañón </t>
  </si>
  <si>
    <t xml:space="preserve">**Rosa de los vientos  </t>
  </si>
  <si>
    <t xml:space="preserve">**Nuevo Chagres 2 </t>
  </si>
  <si>
    <t xml:space="preserve">**Portobelo </t>
  </si>
  <si>
    <t xml:space="preserve">**Rosa de los Vientos Etapa II </t>
  </si>
  <si>
    <t xml:space="preserve">(p)Central Termoelectrica Cobre Panama (Autogenerador)  </t>
  </si>
  <si>
    <t xml:space="preserve">*Parque Solar Penonomé </t>
  </si>
  <si>
    <t xml:space="preserve">**Parque eólico Toabre </t>
  </si>
  <si>
    <t>*Don Felix + Don Felix Et2</t>
  </si>
  <si>
    <t>*Solar Divisa</t>
  </si>
  <si>
    <t xml:space="preserve">*Farallón Solar </t>
  </si>
  <si>
    <t xml:space="preserve">*Coclé Solar  </t>
  </si>
  <si>
    <t>*Solar Cocle</t>
  </si>
  <si>
    <t>*Solar Paris</t>
  </si>
  <si>
    <t>*Solar Los Angeles</t>
  </si>
  <si>
    <t xml:space="preserve">*Sol Real </t>
  </si>
  <si>
    <t xml:space="preserve">*El Espinal </t>
  </si>
  <si>
    <t xml:space="preserve">*Vista Alegre </t>
  </si>
  <si>
    <t>*Milton Solar</t>
  </si>
  <si>
    <t xml:space="preserve">*Pocrí </t>
  </si>
  <si>
    <t>*PANASOLAR</t>
  </si>
  <si>
    <t>*Mayorca Solar (AES)</t>
  </si>
  <si>
    <t>*Solar Pesé (AES)</t>
  </si>
  <si>
    <t>* Proyecto Fototvoltaico Jaguito solar</t>
  </si>
  <si>
    <t xml:space="preserve">El Fraile II </t>
  </si>
  <si>
    <t xml:space="preserve">* Los santos solar </t>
  </si>
  <si>
    <t>*Soná Solar</t>
  </si>
  <si>
    <t xml:space="preserve">*Progresovidencia Solar 1 </t>
  </si>
  <si>
    <t>*fotovoltaica Farallon Solar 2</t>
  </si>
  <si>
    <t>*Llano Sanchez</t>
  </si>
  <si>
    <t xml:space="preserve">*SOLAR ENERGY PARK ENTERPRISES, INC. </t>
  </si>
  <si>
    <t>*Oro solar</t>
  </si>
  <si>
    <t xml:space="preserve">*MEGA SOLAR POWER GENERATION, S.A. </t>
  </si>
  <si>
    <t>*San Carlos Solar</t>
  </si>
  <si>
    <t>*La villa solar</t>
  </si>
  <si>
    <t xml:space="preserve">*(E)El Fraile Solar 1 </t>
  </si>
  <si>
    <t xml:space="preserve">*Estrella Solar </t>
  </si>
  <si>
    <t>*fotovoltaica SANTIAGO GEN</t>
  </si>
  <si>
    <t xml:space="preserve">*(E)Daconan Solar </t>
  </si>
  <si>
    <t>*(E)TG4</t>
  </si>
  <si>
    <t>*Panasolar II</t>
  </si>
  <si>
    <t xml:space="preserve">*Panasolar III </t>
  </si>
  <si>
    <t>(E) Antón</t>
  </si>
  <si>
    <t>*(E)Bejuco Solar</t>
  </si>
  <si>
    <t xml:space="preserve">*(E)Mendosa solar. </t>
  </si>
  <si>
    <t xml:space="preserve">(E)MASPV SUNRISE </t>
  </si>
  <si>
    <t xml:space="preserve">Miraflores  </t>
  </si>
  <si>
    <t>URBALIA Cerro Patacón</t>
  </si>
  <si>
    <t>*(E)Fotovoltaica zona franca de albrook.</t>
  </si>
  <si>
    <t xml:space="preserve">*(E)Pacora 2. </t>
  </si>
  <si>
    <t>Sparkle Power</t>
  </si>
  <si>
    <t xml:space="preserve">C.T. Gatún </t>
  </si>
  <si>
    <t>(Autogenerador)CADASA 1</t>
  </si>
  <si>
    <t xml:space="preserve">Los Cargos se consideran preliminares ya que se está a la espera de la Aprobación del Pliego tarifario de ETESA para el nuevo Periodo 2021-2025.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</si>
</sst>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0.0%"/>
    <numFmt numFmtId="165" formatCode="#,##0.0"/>
    <numFmt numFmtId="166" formatCode="0.0"/>
    <numFmt numFmtId="167" formatCode="_ * #,##0.00_ ;_ * \-#,##0.00_ ;_ * &quot;-&quot;??_ ;_ @_ "/>
    <numFmt numFmtId="168" formatCode="_(* #,##0.00_);_(* \(#,##0.00\);_(* &quot;-&quot;??_);_(@_)"/>
    <numFmt numFmtId="169" formatCode="0.000"/>
    <numFmt numFmtId="170" formatCode="_(* #,##0.000_);_(* \(#,##0.000\);_(* &quot;-&quot;??_);_(@_)"/>
    <numFmt numFmtId="171" formatCode="0.0000"/>
    <numFmt numFmtId="172" formatCode="#,##0.000"/>
    <numFmt numFmtId="173" formatCode="#,##0.0000"/>
    <numFmt numFmtId="174" formatCode="_-* #,##0.00\ _€_-;\-* #,##0.00\ _€_-;_-* &quot;-&quot;??\ _€_-;_-@_-"/>
    <numFmt numFmtId="175" formatCode="#.00"/>
    <numFmt numFmtId="176" formatCode="_-[$€-2]* #,##0.00_-;\-[$€-2]* #,##0.00_-;_-[$€-2]* &quot;-&quot;??_-"/>
    <numFmt numFmtId="177" formatCode="_-* #,##0.00\ _P_t_a_-;\-* #,##0.00\ _P_t_a_-;_-* &quot;-&quot;??\ _P_t_a_-;_-@_-"/>
    <numFmt numFmtId="178" formatCode="#,##0.0000000000"/>
  </numFmts>
  <fonts count="10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3"/>
      <name val="Times New Roman"/>
      <family val="1"/>
    </font>
    <font>
      <i/>
      <sz val="10"/>
      <color theme="1" tint="0.499984740745262"/>
      <name val="Times New Roman"/>
      <family val="1"/>
    </font>
    <font>
      <b/>
      <i/>
      <sz val="10"/>
      <color theme="4"/>
      <name val="Times New Roman"/>
      <family val="1"/>
    </font>
    <font>
      <sz val="10"/>
      <color theme="4"/>
      <name val="Times New Roman"/>
      <family val="1"/>
    </font>
    <font>
      <sz val="10"/>
      <name val="Times New Roman"/>
      <family val="1"/>
    </font>
    <font>
      <i/>
      <sz val="10"/>
      <color theme="4"/>
      <name val="Times New Roman"/>
      <family val="1"/>
    </font>
    <font>
      <i/>
      <sz val="10"/>
      <color indexed="63"/>
      <name val="Times New Roman"/>
      <family val="1"/>
    </font>
    <font>
      <b/>
      <i/>
      <sz val="10"/>
      <color indexed="63"/>
      <name val="Times New Roman"/>
      <family val="1"/>
    </font>
    <font>
      <b/>
      <sz val="10"/>
      <color theme="3"/>
      <name val="Times New Roman"/>
      <family val="1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10"/>
      <color theme="0"/>
      <name val="Times New Roman"/>
      <family val="1"/>
    </font>
    <font>
      <b/>
      <i/>
      <sz val="10"/>
      <color theme="0"/>
      <name val="Times New Roman"/>
      <family val="1"/>
    </font>
    <font>
      <sz val="9"/>
      <color theme="1" tint="0.499984740745262"/>
      <name val="Times New Roman"/>
      <family val="1"/>
    </font>
    <font>
      <b/>
      <sz val="11"/>
      <color theme="0"/>
      <name val="Arial Narrow"/>
      <family val="2"/>
    </font>
    <font>
      <sz val="10"/>
      <color rgb="FF000000"/>
      <name val="Times New Roman"/>
      <family val="1"/>
    </font>
    <font>
      <sz val="9"/>
      <color theme="3"/>
      <name val="Times New Roman"/>
      <family val="1"/>
    </font>
    <font>
      <b/>
      <i/>
      <sz val="10"/>
      <color theme="1"/>
      <name val="Times New Roman"/>
      <family val="1"/>
    </font>
    <font>
      <b/>
      <i/>
      <sz val="12"/>
      <color theme="1"/>
      <name val="Arial Narrow"/>
      <family val="2"/>
    </font>
    <font>
      <sz val="10"/>
      <color rgb="FFFF0000"/>
      <name val="Times New Roman"/>
      <family val="1"/>
    </font>
    <font>
      <sz val="12"/>
      <color theme="1"/>
      <name val="Arial"/>
      <family val="2"/>
    </font>
    <font>
      <sz val="11"/>
      <color theme="1"/>
      <name val="Arial Narrow"/>
      <family val="2"/>
    </font>
    <font>
      <sz val="10"/>
      <name val="Arial"/>
      <family val="2"/>
    </font>
    <font>
      <sz val="10"/>
      <color rgb="FF00B05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0"/>
      <name val="Times New Roman"/>
      <family val="1"/>
    </font>
    <font>
      <sz val="12"/>
      <color theme="1" tint="0.34998626667073579"/>
      <name val="Times New Roman"/>
      <family val="1"/>
    </font>
    <font>
      <b/>
      <i/>
      <sz val="14"/>
      <name val="Times New Roman"/>
      <family val="1"/>
    </font>
    <font>
      <b/>
      <i/>
      <sz val="14"/>
      <color theme="1"/>
      <name val="Times New Roman"/>
      <family val="1"/>
    </font>
    <font>
      <sz val="12"/>
      <color rgb="FFFF0000"/>
      <name val="Times New Roman"/>
      <family val="1"/>
    </font>
    <font>
      <i/>
      <sz val="9"/>
      <color theme="1" tint="0.49998474074526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9"/>
      <color theme="4"/>
      <name val="Times New Roman"/>
      <family val="1"/>
    </font>
    <font>
      <b/>
      <i/>
      <sz val="10"/>
      <name val="Times New Roman"/>
      <family val="1"/>
    </font>
    <font>
      <b/>
      <i/>
      <sz val="11"/>
      <color theme="3"/>
      <name val="Times New Roman"/>
      <family val="1"/>
    </font>
    <font>
      <b/>
      <i/>
      <sz val="11"/>
      <name val="Times New Roman"/>
      <family val="1"/>
    </font>
    <font>
      <i/>
      <sz val="11"/>
      <color theme="4"/>
      <name val="Times New Roman"/>
      <family val="1"/>
    </font>
    <font>
      <sz val="11"/>
      <name val="Times New Roman"/>
      <family val="1"/>
    </font>
    <font>
      <b/>
      <i/>
      <sz val="9"/>
      <color theme="7" tint="-0.249977111117893"/>
      <name val="Times New Roman"/>
      <family val="1"/>
    </font>
    <font>
      <b/>
      <sz val="9"/>
      <color theme="7" tint="-0.249977111117893"/>
      <name val="Times New Roman"/>
      <family val="1"/>
    </font>
    <font>
      <b/>
      <i/>
      <sz val="11"/>
      <color theme="4" tint="-0.499984740745262"/>
      <name val="Times New Roman"/>
      <family val="1"/>
    </font>
    <font>
      <i/>
      <sz val="10"/>
      <color theme="4" tint="-0.499984740745262"/>
      <name val="Times New Roman"/>
      <family val="1"/>
    </font>
    <font>
      <b/>
      <i/>
      <sz val="9"/>
      <color theme="4"/>
      <name val="Times New Roman"/>
      <family val="1"/>
    </font>
    <font>
      <b/>
      <sz val="10"/>
      <color theme="4" tint="-0.499984740745262"/>
      <name val="Times New Roman"/>
      <family val="1"/>
    </font>
    <font>
      <b/>
      <sz val="10"/>
      <color theme="4"/>
      <name val="Times New Roman"/>
      <family val="1"/>
    </font>
    <font>
      <b/>
      <i/>
      <sz val="10"/>
      <color theme="4" tint="-0.499984740745262"/>
      <name val="Times New Roman"/>
      <family val="1"/>
    </font>
    <font>
      <b/>
      <sz val="10"/>
      <color rgb="FFFF0000"/>
      <name val="Times New Roman"/>
      <family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9"/>
      <color indexed="12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2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Arial"/>
      <family val="2"/>
    </font>
    <font>
      <sz val="9"/>
      <color rgb="FF000000"/>
      <name val="Calibri"/>
      <family val="2"/>
    </font>
  </fonts>
  <fills count="8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C5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rgb="FF000000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theme="0"/>
      </top>
      <bottom style="thick">
        <color theme="0" tint="-0.1499679555650502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0"/>
      </bottom>
      <diagonal/>
    </border>
    <border>
      <left/>
      <right/>
      <top style="thick">
        <color theme="0" tint="-0.14996795556505021"/>
      </top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indexed="64"/>
      </right>
      <top style="thin">
        <color indexed="64"/>
      </top>
      <bottom/>
      <diagonal/>
    </border>
    <border>
      <left/>
      <right style="thick">
        <color theme="3"/>
      </right>
      <top style="thin">
        <color indexed="64"/>
      </top>
      <bottom/>
      <diagonal/>
    </border>
    <border>
      <left style="thick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ck">
        <color theme="3"/>
      </right>
      <top/>
      <bottom style="thin">
        <color indexed="64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 style="thin">
        <color indexed="64"/>
      </top>
      <bottom style="thin">
        <color indexed="64"/>
      </bottom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</borders>
  <cellStyleXfs count="189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29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37" applyNumberFormat="0" applyFill="0" applyAlignment="0" applyProtection="0"/>
    <xf numFmtId="0" fontId="64" fillId="0" borderId="38" applyNumberFormat="0" applyFill="0" applyAlignment="0" applyProtection="0"/>
    <xf numFmtId="0" fontId="65" fillId="0" borderId="39" applyNumberFormat="0" applyFill="0" applyAlignment="0" applyProtection="0"/>
    <xf numFmtId="0" fontId="65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6" borderId="40" applyNumberFormat="0" applyAlignment="0" applyProtection="0"/>
    <xf numFmtId="0" fontId="69" fillId="27" borderId="41" applyNumberFormat="0" applyAlignment="0" applyProtection="0"/>
    <xf numFmtId="0" fontId="70" fillId="27" borderId="40" applyNumberFormat="0" applyAlignment="0" applyProtection="0"/>
    <xf numFmtId="0" fontId="71" fillId="0" borderId="42" applyNumberFormat="0" applyFill="0" applyAlignment="0" applyProtection="0"/>
    <xf numFmtId="0" fontId="72" fillId="28" borderId="43" applyNumberFormat="0" applyAlignment="0" applyProtection="0"/>
    <xf numFmtId="0" fontId="73" fillId="0" borderId="0" applyNumberFormat="0" applyFill="0" applyBorder="0" applyAlignment="0" applyProtection="0"/>
    <xf numFmtId="0" fontId="1" fillId="29" borderId="44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45" applyNumberFormat="0" applyFill="0" applyAlignment="0" applyProtection="0"/>
    <xf numFmtId="0" fontId="7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7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7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7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7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1" borderId="0" applyNumberFormat="0" applyBorder="0" applyAlignment="0" applyProtection="0"/>
    <xf numFmtId="0" fontId="77" fillId="61" borderId="0" applyNumberFormat="0" applyBorder="0" applyAlignment="0" applyProtection="0"/>
    <xf numFmtId="0" fontId="77" fillId="62" borderId="0" applyNumberFormat="0" applyBorder="0" applyAlignment="0" applyProtection="0"/>
    <xf numFmtId="0" fontId="77" fillId="62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6" fillId="33" borderId="0" applyNumberFormat="0" applyBorder="0" applyAlignment="0" applyProtection="0"/>
    <xf numFmtId="0" fontId="78" fillId="64" borderId="0" applyNumberFormat="0" applyBorder="0" applyAlignment="0" applyProtection="0"/>
    <xf numFmtId="0" fontId="76" fillId="37" borderId="0" applyNumberFormat="0" applyBorder="0" applyAlignment="0" applyProtection="0"/>
    <xf numFmtId="0" fontId="78" fillId="61" borderId="0" applyNumberFormat="0" applyBorder="0" applyAlignment="0" applyProtection="0"/>
    <xf numFmtId="0" fontId="76" fillId="41" borderId="0" applyNumberFormat="0" applyBorder="0" applyAlignment="0" applyProtection="0"/>
    <xf numFmtId="0" fontId="78" fillId="62" borderId="0" applyNumberFormat="0" applyBorder="0" applyAlignment="0" applyProtection="0"/>
    <xf numFmtId="0" fontId="76" fillId="45" borderId="0" applyNumberFormat="0" applyBorder="0" applyAlignment="0" applyProtection="0"/>
    <xf numFmtId="0" fontId="78" fillId="65" borderId="0" applyNumberFormat="0" applyBorder="0" applyAlignment="0" applyProtection="0"/>
    <xf numFmtId="0" fontId="76" fillId="49" borderId="0" applyNumberFormat="0" applyBorder="0" applyAlignment="0" applyProtection="0"/>
    <xf numFmtId="0" fontId="78" fillId="66" borderId="0" applyNumberFormat="0" applyBorder="0" applyAlignment="0" applyProtection="0"/>
    <xf numFmtId="0" fontId="76" fillId="53" borderId="0" applyNumberFormat="0" applyBorder="0" applyAlignment="0" applyProtection="0"/>
    <xf numFmtId="0" fontId="78" fillId="67" borderId="0" applyNumberFormat="0" applyBorder="0" applyAlignment="0" applyProtection="0"/>
    <xf numFmtId="0" fontId="79" fillId="56" borderId="0" applyNumberFormat="0" applyBorder="0" applyAlignment="0" applyProtection="0"/>
    <xf numFmtId="0" fontId="80" fillId="68" borderId="46" applyNumberFormat="0" applyAlignment="0" applyProtection="0"/>
    <xf numFmtId="0" fontId="81" fillId="69" borderId="47" applyNumberFormat="0" applyAlignment="0" applyProtection="0"/>
    <xf numFmtId="0" fontId="82" fillId="0" borderId="4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0" borderId="49" applyNumberFormat="0" applyFill="0" applyAlignment="0" applyProtection="0"/>
    <xf numFmtId="0" fontId="84" fillId="0" borderId="0" applyNumberFormat="0" applyFill="0" applyBorder="0" applyAlignment="0" applyProtection="0"/>
    <xf numFmtId="0" fontId="78" fillId="70" borderId="0" applyNumberFormat="0" applyBorder="0" applyAlignment="0" applyProtection="0"/>
    <xf numFmtId="0" fontId="101" fillId="30" borderId="0" applyNumberFormat="0" applyBorder="0" applyAlignment="0" applyProtection="0"/>
    <xf numFmtId="0" fontId="101" fillId="30" borderId="0" applyNumberFormat="0" applyBorder="0" applyAlignment="0" applyProtection="0"/>
    <xf numFmtId="0" fontId="78" fillId="71" borderId="0" applyNumberFormat="0" applyBorder="0" applyAlignment="0" applyProtection="0"/>
    <xf numFmtId="0" fontId="78" fillId="72" borderId="0" applyNumberFormat="0" applyBorder="0" applyAlignment="0" applyProtection="0"/>
    <xf numFmtId="0" fontId="78" fillId="65" borderId="0" applyNumberFormat="0" applyBorder="0" applyAlignment="0" applyProtection="0"/>
    <xf numFmtId="0" fontId="78" fillId="66" borderId="0" applyNumberFormat="0" applyBorder="0" applyAlignment="0" applyProtection="0"/>
    <xf numFmtId="0" fontId="78" fillId="73" borderId="0" applyNumberFormat="0" applyBorder="0" applyAlignment="0" applyProtection="0"/>
    <xf numFmtId="0" fontId="85" fillId="59" borderId="46" applyNumberFormat="0" applyAlignment="0" applyProtection="0"/>
    <xf numFmtId="176" fontId="29" fillId="0" borderId="0" applyFont="0" applyFill="0" applyBorder="0" applyAlignment="0" applyProtection="0"/>
    <xf numFmtId="175" fontId="95" fillId="0" borderId="0">
      <protection locked="0"/>
    </xf>
    <xf numFmtId="175" fontId="95" fillId="0" borderId="0">
      <protection locked="0"/>
    </xf>
    <xf numFmtId="175" fontId="96" fillId="0" borderId="0">
      <protection locked="0"/>
    </xf>
    <xf numFmtId="175" fontId="95" fillId="0" borderId="0">
      <protection locked="0"/>
    </xf>
    <xf numFmtId="175" fontId="95" fillId="0" borderId="0">
      <protection locked="0"/>
    </xf>
    <xf numFmtId="175" fontId="95" fillId="0" borderId="0">
      <protection locked="0"/>
    </xf>
    <xf numFmtId="175" fontId="96" fillId="0" borderId="0"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86" fillId="5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177" fontId="29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02" fillId="25" borderId="0" applyNumberFormat="0" applyBorder="0" applyAlignment="0" applyProtection="0"/>
    <xf numFmtId="0" fontId="87" fillId="7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7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75" borderId="50" applyNumberFormat="0" applyFont="0" applyAlignment="0" applyProtection="0"/>
    <xf numFmtId="40" fontId="97" fillId="76" borderId="0">
      <alignment horizontal="right"/>
    </xf>
    <xf numFmtId="0" fontId="98" fillId="76" borderId="0">
      <alignment horizontal="right"/>
    </xf>
    <xf numFmtId="0" fontId="99" fillId="76" borderId="8"/>
    <xf numFmtId="0" fontId="99" fillId="0" borderId="0" applyBorder="0">
      <alignment horizontal="centerContinuous"/>
    </xf>
    <xf numFmtId="0" fontId="100" fillId="0" borderId="0" applyBorder="0">
      <alignment horizontal="centerContinuous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88" fillId="68" borderId="51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2" fillId="0" borderId="52" applyNumberFormat="0" applyFill="0" applyAlignment="0" applyProtection="0"/>
    <xf numFmtId="0" fontId="84" fillId="0" borderId="53" applyNumberFormat="0" applyFill="0" applyAlignment="0" applyProtection="0"/>
    <xf numFmtId="0" fontId="9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3" fillId="0" borderId="54" applyNumberFormat="0" applyFill="0" applyAlignment="0" applyProtection="0"/>
  </cellStyleXfs>
  <cellXfs count="500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Continuous" vertical="center" wrapText="1"/>
    </xf>
    <xf numFmtId="0" fontId="4" fillId="2" borderId="2" xfId="1" applyFont="1" applyFill="1" applyBorder="1" applyAlignment="1">
      <alignment horizontal="centerContinuous" vertical="center" wrapText="1"/>
    </xf>
    <xf numFmtId="0" fontId="6" fillId="0" borderId="3" xfId="1" applyFont="1" applyBorder="1" applyAlignment="1">
      <alignment horizontal="left" vertical="center"/>
    </xf>
    <xf numFmtId="0" fontId="6" fillId="3" borderId="4" xfId="1" applyFont="1" applyFill="1" applyBorder="1" applyAlignment="1">
      <alignment horizontal="centerContinuous" vertical="center"/>
    </xf>
    <xf numFmtId="0" fontId="7" fillId="3" borderId="5" xfId="1" applyFont="1" applyFill="1" applyBorder="1" applyAlignment="1">
      <alignment horizontal="centerContinuous" vertical="center"/>
    </xf>
    <xf numFmtId="0" fontId="6" fillId="0" borderId="1" xfId="1" applyFont="1" applyBorder="1" applyAlignment="1">
      <alignment horizontal="center" vertical="center"/>
    </xf>
    <xf numFmtId="164" fontId="8" fillId="0" borderId="2" xfId="2" applyNumberFormat="1" applyFont="1" applyBorder="1" applyAlignment="1">
      <alignment horizontal="center" vertical="center"/>
    </xf>
    <xf numFmtId="165" fontId="6" fillId="2" borderId="6" xfId="1" applyNumberFormat="1" applyFont="1" applyFill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9" fontId="4" fillId="0" borderId="0" xfId="2" applyFont="1" applyAlignment="1">
      <alignment horizontal="center" vertical="center"/>
    </xf>
    <xf numFmtId="165" fontId="10" fillId="0" borderId="0" xfId="1" applyNumberFormat="1" applyFont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4" fontId="11" fillId="3" borderId="7" xfId="1" applyNumberFormat="1" applyFont="1" applyFill="1" applyBorder="1" applyAlignment="1">
      <alignment horizontal="right" vertical="center"/>
    </xf>
    <xf numFmtId="164" fontId="8" fillId="6" borderId="8" xfId="2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4" fontId="11" fillId="3" borderId="9" xfId="1" applyNumberFormat="1" applyFont="1" applyFill="1" applyBorder="1" applyAlignment="1">
      <alignment horizontal="right" vertical="center"/>
    </xf>
    <xf numFmtId="164" fontId="8" fillId="6" borderId="3" xfId="2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right" vertical="center"/>
    </xf>
    <xf numFmtId="4" fontId="11" fillId="6" borderId="0" xfId="1" applyNumberFormat="1" applyFont="1" applyFill="1" applyAlignment="1">
      <alignment horizontal="center" vertical="center"/>
    </xf>
    <xf numFmtId="0" fontId="4" fillId="6" borderId="0" xfId="1" applyFont="1" applyFill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4" fontId="10" fillId="6" borderId="0" xfId="1" applyNumberFormat="1" applyFont="1" applyFill="1" applyAlignment="1">
      <alignment horizontal="center" vertical="center"/>
    </xf>
    <xf numFmtId="0" fontId="10" fillId="6" borderId="0" xfId="1" applyFont="1" applyFill="1" applyAlignment="1">
      <alignment horizontal="left" vertical="center"/>
    </xf>
    <xf numFmtId="0" fontId="20" fillId="0" borderId="0" xfId="1" applyFont="1" applyAlignment="1">
      <alignment horizontal="left" vertical="center" indent="1"/>
    </xf>
    <xf numFmtId="0" fontId="15" fillId="0" borderId="2" xfId="0" applyFont="1" applyBorder="1" applyAlignment="1">
      <alignment horizontal="center" vertical="center" wrapText="1"/>
    </xf>
    <xf numFmtId="0" fontId="5" fillId="4" borderId="7" xfId="1" applyFont="1" applyFill="1" applyBorder="1" applyAlignment="1">
      <alignment horizontal="right" vertical="center"/>
    </xf>
    <xf numFmtId="0" fontId="5" fillId="4" borderId="0" xfId="1" applyFont="1" applyFill="1" applyAlignment="1">
      <alignment horizontal="center" vertical="center"/>
    </xf>
    <xf numFmtId="0" fontId="5" fillId="4" borderId="19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indent="2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9" borderId="8" xfId="0" applyNumberFormat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 indent="2"/>
    </xf>
    <xf numFmtId="0" fontId="4" fillId="0" borderId="10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5" fillId="4" borderId="17" xfId="1" applyFont="1" applyFill="1" applyBorder="1" applyAlignment="1">
      <alignment horizontal="center" vertical="center"/>
    </xf>
    <xf numFmtId="0" fontId="5" fillId="4" borderId="16" xfId="1" applyFont="1" applyFill="1" applyBorder="1" applyAlignment="1">
      <alignment horizontal="center" vertical="center"/>
    </xf>
    <xf numFmtId="2" fontId="5" fillId="4" borderId="16" xfId="1" applyNumberFormat="1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left" vertical="center" indent="2"/>
    </xf>
    <xf numFmtId="0" fontId="5" fillId="4" borderId="4" xfId="1" applyFont="1" applyFill="1" applyBorder="1" applyAlignment="1">
      <alignment horizontal="center" vertical="center"/>
    </xf>
    <xf numFmtId="2" fontId="4" fillId="0" borderId="19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5" fillId="4" borderId="4" xfId="1" applyFont="1" applyFill="1" applyBorder="1" applyAlignment="1">
      <alignment horizontal="right" vertical="center"/>
    </xf>
    <xf numFmtId="0" fontId="5" fillId="0" borderId="7" xfId="1" applyFont="1" applyBorder="1" applyAlignment="1">
      <alignment horizontal="left" vertical="center" indent="2"/>
    </xf>
    <xf numFmtId="2" fontId="4" fillId="0" borderId="18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9" xfId="1" quotePrefix="1" applyFont="1" applyBorder="1" applyAlignment="1">
      <alignment horizontal="center" vertical="center"/>
    </xf>
    <xf numFmtId="0" fontId="11" fillId="0" borderId="19" xfId="1" quotePrefix="1" applyFont="1" applyBorder="1" applyAlignment="1">
      <alignment horizontal="center" vertical="center"/>
    </xf>
    <xf numFmtId="2" fontId="27" fillId="10" borderId="19" xfId="0" applyNumberFormat="1" applyFont="1" applyFill="1" applyBorder="1" applyAlignment="1">
      <alignment horizontal="center"/>
    </xf>
    <xf numFmtId="0" fontId="4" fillId="0" borderId="19" xfId="0" quotePrefix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indent="2"/>
    </xf>
    <xf numFmtId="0" fontId="4" fillId="13" borderId="0" xfId="0" applyFont="1" applyFill="1" applyAlignment="1">
      <alignment horizontal="center" vertical="center"/>
    </xf>
    <xf numFmtId="0" fontId="4" fillId="13" borderId="19" xfId="0" quotePrefix="1" applyFont="1" applyFill="1" applyBorder="1" applyAlignment="1">
      <alignment horizontal="center" vertical="center"/>
    </xf>
    <xf numFmtId="0" fontId="4" fillId="14" borderId="19" xfId="0" applyFont="1" applyFill="1" applyBorder="1" applyAlignment="1">
      <alignment horizontal="center" vertical="center"/>
    </xf>
    <xf numFmtId="0" fontId="29" fillId="0" borderId="0" xfId="4"/>
    <xf numFmtId="0" fontId="4" fillId="0" borderId="9" xfId="1" applyFont="1" applyBorder="1" applyAlignment="1">
      <alignment horizontal="left" vertical="center" indent="2"/>
    </xf>
    <xf numFmtId="0" fontId="4" fillId="4" borderId="0" xfId="1" applyFont="1" applyFill="1" applyAlignment="1">
      <alignment horizontal="center" vertical="center"/>
    </xf>
    <xf numFmtId="0" fontId="4" fillId="4" borderId="17" xfId="1" applyFont="1" applyFill="1" applyBorder="1" applyAlignment="1">
      <alignment horizontal="center" vertical="center"/>
    </xf>
    <xf numFmtId="0" fontId="4" fillId="4" borderId="19" xfId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/>
    </xf>
    <xf numFmtId="0" fontId="33" fillId="15" borderId="6" xfId="0" applyFont="1" applyFill="1" applyBorder="1" applyAlignment="1">
      <alignment horizontal="center" vertical="center"/>
    </xf>
    <xf numFmtId="2" fontId="34" fillId="0" borderId="6" xfId="0" applyNumberFormat="1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 indent="2"/>
    </xf>
    <xf numFmtId="0" fontId="35" fillId="14" borderId="6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2" fontId="34" fillId="0" borderId="19" xfId="0" applyNumberFormat="1" applyFont="1" applyBorder="1" applyAlignment="1">
      <alignment horizontal="center" vertical="center"/>
    </xf>
    <xf numFmtId="2" fontId="5" fillId="4" borderId="19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2" fontId="5" fillId="0" borderId="13" xfId="1" applyNumberFormat="1" applyFont="1" applyBorder="1" applyAlignment="1">
      <alignment horizontal="center" vertical="center"/>
    </xf>
    <xf numFmtId="0" fontId="4" fillId="0" borderId="0" xfId="8" applyFont="1" applyAlignment="1">
      <alignment horizontal="center" vertical="center"/>
    </xf>
    <xf numFmtId="0" fontId="5" fillId="0" borderId="7" xfId="6" applyFont="1" applyBorder="1" applyAlignment="1">
      <alignment horizontal="left" vertical="center" indent="2"/>
    </xf>
    <xf numFmtId="0" fontId="4" fillId="0" borderId="19" xfId="6" applyFont="1" applyBorder="1" applyAlignment="1">
      <alignment horizontal="center" vertical="center"/>
    </xf>
    <xf numFmtId="2" fontId="4" fillId="9" borderId="8" xfId="6" applyNumberFormat="1" applyFont="1" applyFill="1" applyBorder="1" applyAlignment="1">
      <alignment horizontal="center" vertical="center"/>
    </xf>
    <xf numFmtId="1" fontId="4" fillId="0" borderId="8" xfId="6" applyNumberFormat="1" applyFont="1" applyBorder="1" applyAlignment="1">
      <alignment horizontal="center" vertical="center"/>
    </xf>
    <xf numFmtId="2" fontId="4" fillId="0" borderId="8" xfId="8" applyNumberFormat="1" applyFont="1" applyBorder="1" applyAlignment="1">
      <alignment horizontal="center" vertical="center"/>
    </xf>
    <xf numFmtId="1" fontId="4" fillId="0" borderId="8" xfId="8" applyNumberFormat="1" applyFont="1" applyBorder="1" applyAlignment="1">
      <alignment horizontal="center" vertical="center"/>
    </xf>
    <xf numFmtId="2" fontId="11" fillId="9" borderId="8" xfId="6" applyNumberFormat="1" applyFont="1" applyFill="1" applyBorder="1" applyAlignment="1">
      <alignment horizontal="center" vertical="center"/>
    </xf>
    <xf numFmtId="2" fontId="4" fillId="9" borderId="19" xfId="6" applyNumberFormat="1" applyFont="1" applyFill="1" applyBorder="1" applyAlignment="1">
      <alignment horizontal="center" vertical="center"/>
    </xf>
    <xf numFmtId="0" fontId="5" fillId="0" borderId="7" xfId="8" applyFont="1" applyBorder="1" applyAlignment="1">
      <alignment horizontal="left" vertical="center" indent="2"/>
    </xf>
    <xf numFmtId="0" fontId="11" fillId="0" borderId="19" xfId="8" quotePrefix="1" applyFont="1" applyBorder="1" applyAlignment="1">
      <alignment horizontal="center" vertical="center"/>
    </xf>
    <xf numFmtId="0" fontId="4" fillId="0" borderId="19" xfId="8" applyFont="1" applyBorder="1" applyAlignment="1">
      <alignment horizontal="center" vertical="center"/>
    </xf>
    <xf numFmtId="0" fontId="4" fillId="0" borderId="19" xfId="8" quotePrefix="1" applyFont="1" applyBorder="1" applyAlignment="1">
      <alignment horizontal="center" vertical="center"/>
    </xf>
    <xf numFmtId="1" fontId="26" fillId="0" borderId="8" xfId="6" applyNumberFormat="1" applyFont="1" applyBorder="1" applyAlignment="1">
      <alignment horizontal="center" vertical="center"/>
    </xf>
    <xf numFmtId="2" fontId="5" fillId="11" borderId="8" xfId="6" applyNumberFormat="1" applyFont="1" applyFill="1" applyBorder="1" applyAlignment="1">
      <alignment horizontal="center" vertical="center"/>
    </xf>
    <xf numFmtId="0" fontId="4" fillId="0" borderId="8" xfId="8" applyFont="1" applyBorder="1" applyAlignment="1">
      <alignment horizontal="center" vertical="center"/>
    </xf>
    <xf numFmtId="0" fontId="4" fillId="0" borderId="7" xfId="8" applyFont="1" applyBorder="1" applyAlignment="1">
      <alignment horizontal="left" vertical="center" indent="2"/>
    </xf>
    <xf numFmtId="0" fontId="20" fillId="0" borderId="0" xfId="8" applyFont="1" applyAlignment="1">
      <alignment horizontal="left" vertical="center" indent="1"/>
    </xf>
    <xf numFmtId="0" fontId="37" fillId="0" borderId="0" xfId="0" applyFont="1" applyAlignment="1">
      <alignment horizontal="center" vertical="center"/>
    </xf>
    <xf numFmtId="0" fontId="37" fillId="0" borderId="0" xfId="0" applyFont="1"/>
    <xf numFmtId="0" fontId="38" fillId="0" borderId="0" xfId="0" applyFont="1" applyAlignment="1">
      <alignment horizontal="center" vertical="center"/>
    </xf>
    <xf numFmtId="0" fontId="38" fillId="0" borderId="0" xfId="0" applyFont="1"/>
    <xf numFmtId="0" fontId="39" fillId="17" borderId="6" xfId="0" applyFont="1" applyFill="1" applyBorder="1" applyAlignment="1">
      <alignment horizontal="center" vertical="center"/>
    </xf>
    <xf numFmtId="0" fontId="39" fillId="17" borderId="6" xfId="0" applyFont="1" applyFill="1" applyBorder="1" applyAlignment="1">
      <alignment horizontal="right" vertical="center" indent="1"/>
    </xf>
    <xf numFmtId="0" fontId="40" fillId="0" borderId="0" xfId="0" applyFont="1" applyAlignment="1">
      <alignment horizontal="center" vertical="center"/>
    </xf>
    <xf numFmtId="17" fontId="41" fillId="18" borderId="20" xfId="0" applyNumberFormat="1" applyFont="1" applyFill="1" applyBorder="1" applyAlignment="1">
      <alignment horizontal="center" vertical="center"/>
    </xf>
    <xf numFmtId="168" fontId="42" fillId="18" borderId="20" xfId="11" applyFont="1" applyFill="1" applyBorder="1"/>
    <xf numFmtId="17" fontId="36" fillId="19" borderId="20" xfId="0" applyNumberFormat="1" applyFont="1" applyFill="1" applyBorder="1" applyAlignment="1">
      <alignment horizontal="center" vertical="center"/>
    </xf>
    <xf numFmtId="17" fontId="38" fillId="19" borderId="20" xfId="0" applyNumberFormat="1" applyFont="1" applyFill="1" applyBorder="1" applyAlignment="1">
      <alignment horizontal="center" vertical="center"/>
    </xf>
    <xf numFmtId="168" fontId="37" fillId="19" borderId="20" xfId="11" applyFont="1" applyFill="1" applyBorder="1"/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indent="1"/>
    </xf>
    <xf numFmtId="4" fontId="43" fillId="0" borderId="0" xfId="0" applyNumberFormat="1" applyFont="1" applyAlignment="1">
      <alignment horizontal="center" vertical="center"/>
    </xf>
    <xf numFmtId="4" fontId="43" fillId="0" borderId="0" xfId="11" applyNumberFormat="1" applyFont="1" applyAlignment="1">
      <alignment horizontal="right" vertical="center"/>
    </xf>
    <xf numFmtId="168" fontId="37" fillId="0" borderId="0" xfId="0" applyNumberFormat="1" applyFont="1"/>
    <xf numFmtId="168" fontId="37" fillId="0" borderId="0" xfId="11" applyFont="1" applyBorder="1" applyAlignment="1">
      <alignment horizontal="right"/>
    </xf>
    <xf numFmtId="168" fontId="43" fillId="0" borderId="0" xfId="11" applyFont="1" applyAlignment="1">
      <alignment horizontal="right" vertical="center"/>
    </xf>
    <xf numFmtId="170" fontId="37" fillId="0" borderId="0" xfId="11" applyNumberFormat="1" applyFont="1" applyFill="1"/>
    <xf numFmtId="0" fontId="39" fillId="17" borderId="21" xfId="0" applyFont="1" applyFill="1" applyBorder="1" applyAlignment="1">
      <alignment horizontal="center" vertical="center"/>
    </xf>
    <xf numFmtId="0" fontId="39" fillId="17" borderId="16" xfId="0" applyFont="1" applyFill="1" applyBorder="1" applyAlignment="1">
      <alignment horizontal="right" vertical="center" indent="1"/>
    </xf>
    <xf numFmtId="170" fontId="37" fillId="0" borderId="0" xfId="11" applyNumberFormat="1" applyFont="1" applyFill="1" applyAlignment="1">
      <alignment horizontal="center" vertical="center"/>
    </xf>
    <xf numFmtId="170" fontId="42" fillId="18" borderId="20" xfId="11" applyNumberFormat="1" applyFont="1" applyFill="1" applyBorder="1"/>
    <xf numFmtId="170" fontId="37" fillId="19" borderId="20" xfId="11" applyNumberFormat="1" applyFont="1" applyFill="1" applyBorder="1"/>
    <xf numFmtId="170" fontId="37" fillId="0" borderId="0" xfId="11" applyNumberFormat="1" applyFont="1" applyFill="1" applyAlignment="1">
      <alignment horizontal="right"/>
    </xf>
    <xf numFmtId="170" fontId="37" fillId="0" borderId="0" xfId="11" applyNumberFormat="1" applyFont="1" applyAlignment="1">
      <alignment horizontal="right" vertical="center"/>
    </xf>
    <xf numFmtId="168" fontId="37" fillId="0" borderId="0" xfId="11" applyFont="1" applyAlignment="1">
      <alignment horizontal="right" vertical="center"/>
    </xf>
    <xf numFmtId="168" fontId="37" fillId="0" borderId="0" xfId="11" applyFont="1" applyAlignment="1">
      <alignment horizontal="right"/>
    </xf>
    <xf numFmtId="168" fontId="37" fillId="0" borderId="0" xfId="11" applyFont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6" fillId="20" borderId="4" xfId="0" applyFont="1" applyFill="1" applyBorder="1" applyAlignment="1">
      <alignment horizontal="centerContinuous" vertical="center"/>
    </xf>
    <xf numFmtId="0" fontId="11" fillId="20" borderId="5" xfId="0" applyFont="1" applyFill="1" applyBorder="1" applyAlignment="1">
      <alignment horizontal="centerContinuous" vertical="center"/>
    </xf>
    <xf numFmtId="0" fontId="6" fillId="20" borderId="5" xfId="0" applyFont="1" applyFill="1" applyBorder="1" applyAlignment="1">
      <alignment horizontal="centerContinuous" vertical="center"/>
    </xf>
    <xf numFmtId="0" fontId="6" fillId="20" borderId="5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6" fillId="19" borderId="1" xfId="0" applyNumberFormat="1" applyFont="1" applyFill="1" applyBorder="1" applyAlignment="1">
      <alignment horizontal="right" vertical="center"/>
    </xf>
    <xf numFmtId="9" fontId="44" fillId="0" borderId="2" xfId="12" applyFont="1" applyFill="1" applyBorder="1" applyAlignment="1">
      <alignment horizontal="center" vertical="center"/>
    </xf>
    <xf numFmtId="165" fontId="45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9" fontId="46" fillId="0" borderId="0" xfId="12" applyFont="1" applyFill="1" applyAlignment="1">
      <alignment horizontal="center" vertical="center"/>
    </xf>
    <xf numFmtId="3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4" fontId="47" fillId="0" borderId="0" xfId="0" applyNumberFormat="1" applyFont="1" applyAlignment="1">
      <alignment horizontal="right" vertical="center"/>
    </xf>
    <xf numFmtId="164" fontId="47" fillId="0" borderId="0" xfId="12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" fontId="11" fillId="0" borderId="7" xfId="0" applyNumberFormat="1" applyFont="1" applyBorder="1" applyAlignment="1">
      <alignment horizontal="right" vertical="center"/>
    </xf>
    <xf numFmtId="164" fontId="44" fillId="0" borderId="8" xfId="12" applyNumberFormat="1" applyFont="1" applyFill="1" applyBorder="1" applyAlignment="1">
      <alignment horizontal="center" vertical="center"/>
    </xf>
    <xf numFmtId="165" fontId="45" fillId="0" borderId="7" xfId="0" applyNumberFormat="1" applyFont="1" applyBorder="1" applyAlignment="1">
      <alignment horizontal="center" vertical="center"/>
    </xf>
    <xf numFmtId="166" fontId="45" fillId="0" borderId="8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right" vertical="center"/>
    </xf>
    <xf numFmtId="164" fontId="44" fillId="0" borderId="3" xfId="12" applyNumberFormat="1" applyFont="1" applyFill="1" applyBorder="1" applyAlignment="1">
      <alignment horizontal="center" vertical="center"/>
    </xf>
    <xf numFmtId="165" fontId="45" fillId="0" borderId="9" xfId="0" applyNumberFormat="1" applyFont="1" applyBorder="1" applyAlignment="1">
      <alignment horizontal="center" vertical="center"/>
    </xf>
    <xf numFmtId="166" fontId="45" fillId="0" borderId="3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166" fontId="45" fillId="0" borderId="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19" borderId="4" xfId="0" applyFont="1" applyFill="1" applyBorder="1" applyAlignment="1">
      <alignment horizontal="center" vertical="center"/>
    </xf>
    <xf numFmtId="0" fontId="11" fillId="19" borderId="17" xfId="0" applyFont="1" applyFill="1" applyBorder="1" applyAlignment="1">
      <alignment horizontal="center" vertical="center"/>
    </xf>
    <xf numFmtId="0" fontId="11" fillId="21" borderId="17" xfId="0" applyFont="1" applyFill="1" applyBorder="1" applyAlignment="1">
      <alignment horizontal="center" vertical="center"/>
    </xf>
    <xf numFmtId="0" fontId="11" fillId="19" borderId="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7" fontId="11" fillId="0" borderId="9" xfId="0" applyNumberFormat="1" applyFont="1" applyBorder="1" applyAlignment="1">
      <alignment horizontal="center" vertical="center"/>
    </xf>
    <xf numFmtId="17" fontId="11" fillId="0" borderId="10" xfId="0" applyNumberFormat="1" applyFont="1" applyBorder="1" applyAlignment="1">
      <alignment horizontal="center" vertical="center"/>
    </xf>
    <xf numFmtId="17" fontId="11" fillId="0" borderId="3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71" fontId="11" fillId="0" borderId="9" xfId="0" applyNumberFormat="1" applyFont="1" applyBorder="1" applyAlignment="1">
      <alignment horizontal="center" vertical="center"/>
    </xf>
    <xf numFmtId="171" fontId="11" fillId="0" borderId="10" xfId="0" applyNumberFormat="1" applyFont="1" applyBorder="1" applyAlignment="1">
      <alignment horizontal="center" vertical="center"/>
    </xf>
    <xf numFmtId="171" fontId="11" fillId="0" borderId="3" xfId="0" applyNumberFormat="1" applyFont="1" applyBorder="1" applyAlignment="1">
      <alignment horizontal="center" vertical="center"/>
    </xf>
    <xf numFmtId="169" fontId="45" fillId="0" borderId="18" xfId="0" applyNumberFormat="1" applyFont="1" applyBorder="1" applyAlignment="1">
      <alignment horizontal="center" vertical="center"/>
    </xf>
    <xf numFmtId="0" fontId="6" fillId="20" borderId="6" xfId="0" applyFont="1" applyFill="1" applyBorder="1" applyAlignment="1">
      <alignment horizontal="center" vertical="center"/>
    </xf>
    <xf numFmtId="0" fontId="6" fillId="20" borderId="13" xfId="0" applyFont="1" applyFill="1" applyBorder="1" applyAlignment="1">
      <alignment horizontal="center" vertical="center"/>
    </xf>
    <xf numFmtId="0" fontId="6" fillId="20" borderId="2" xfId="0" applyFont="1" applyFill="1" applyBorder="1" applyAlignment="1">
      <alignment horizontal="center" vertical="center"/>
    </xf>
    <xf numFmtId="0" fontId="48" fillId="20" borderId="2" xfId="0" applyFont="1" applyFill="1" applyBorder="1" applyAlignment="1">
      <alignment horizontal="center" vertical="center"/>
    </xf>
    <xf numFmtId="0" fontId="46" fillId="0" borderId="6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165" fontId="11" fillId="0" borderId="9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1" fillId="22" borderId="16" xfId="0" applyFont="1" applyFill="1" applyBorder="1" applyAlignment="1">
      <alignment horizontal="center" vertical="center"/>
    </xf>
    <xf numFmtId="172" fontId="11" fillId="22" borderId="4" xfId="0" applyNumberFormat="1" applyFont="1" applyFill="1" applyBorder="1" applyAlignment="1">
      <alignment horizontal="center" vertical="center"/>
    </xf>
    <xf numFmtId="172" fontId="11" fillId="22" borderId="17" xfId="0" applyNumberFormat="1" applyFont="1" applyFill="1" applyBorder="1" applyAlignment="1">
      <alignment horizontal="center" vertical="center"/>
    </xf>
    <xf numFmtId="172" fontId="11" fillId="22" borderId="5" xfId="0" applyNumberFormat="1" applyFont="1" applyFill="1" applyBorder="1" applyAlignment="1">
      <alignment horizontal="center" vertical="center"/>
    </xf>
    <xf numFmtId="0" fontId="11" fillId="21" borderId="18" xfId="0" applyFont="1" applyFill="1" applyBorder="1" applyAlignment="1">
      <alignment horizontal="center" vertical="center"/>
    </xf>
    <xf numFmtId="172" fontId="11" fillId="21" borderId="9" xfId="0" applyNumberFormat="1" applyFont="1" applyFill="1" applyBorder="1" applyAlignment="1">
      <alignment horizontal="center" vertical="center"/>
    </xf>
    <xf numFmtId="172" fontId="11" fillId="21" borderId="10" xfId="0" applyNumberFormat="1" applyFont="1" applyFill="1" applyBorder="1" applyAlignment="1">
      <alignment horizontal="center" vertical="center"/>
    </xf>
    <xf numFmtId="172" fontId="11" fillId="21" borderId="3" xfId="0" applyNumberFormat="1" applyFont="1" applyFill="1" applyBorder="1" applyAlignment="1">
      <alignment horizontal="center" vertical="center"/>
    </xf>
    <xf numFmtId="0" fontId="11" fillId="22" borderId="0" xfId="0" applyFont="1" applyFill="1" applyAlignment="1">
      <alignment horizontal="center" vertical="center"/>
    </xf>
    <xf numFmtId="169" fontId="11" fillId="22" borderId="0" xfId="0" applyNumberFormat="1" applyFont="1" applyFill="1" applyAlignment="1">
      <alignment horizontal="center" vertical="center"/>
    </xf>
    <xf numFmtId="0" fontId="11" fillId="21" borderId="0" xfId="0" applyFont="1" applyFill="1" applyAlignment="1">
      <alignment horizontal="center" vertical="center"/>
    </xf>
    <xf numFmtId="169" fontId="11" fillId="21" borderId="0" xfId="0" applyNumberFormat="1" applyFont="1" applyFill="1" applyAlignment="1">
      <alignment horizontal="center" vertical="center"/>
    </xf>
    <xf numFmtId="0" fontId="11" fillId="21" borderId="6" xfId="0" applyFont="1" applyFill="1" applyBorder="1" applyAlignment="1">
      <alignment horizontal="center" vertical="center"/>
    </xf>
    <xf numFmtId="172" fontId="11" fillId="21" borderId="1" xfId="0" applyNumberFormat="1" applyFont="1" applyFill="1" applyBorder="1" applyAlignment="1">
      <alignment horizontal="center" vertical="center"/>
    </xf>
    <xf numFmtId="172" fontId="11" fillId="21" borderId="13" xfId="0" applyNumberFormat="1" applyFont="1" applyFill="1" applyBorder="1" applyAlignment="1">
      <alignment horizontal="center" vertical="center"/>
    </xf>
    <xf numFmtId="172" fontId="11" fillId="21" borderId="2" xfId="0" applyNumberFormat="1" applyFont="1" applyFill="1" applyBorder="1" applyAlignment="1">
      <alignment horizontal="center" vertical="center"/>
    </xf>
    <xf numFmtId="0" fontId="49" fillId="14" borderId="24" xfId="0" applyFont="1" applyFill="1" applyBorder="1" applyAlignment="1">
      <alignment horizontal="left" vertical="center" indent="1"/>
    </xf>
    <xf numFmtId="0" fontId="50" fillId="14" borderId="25" xfId="0" applyFont="1" applyFill="1" applyBorder="1" applyAlignment="1">
      <alignment horizontal="center" vertical="center"/>
    </xf>
    <xf numFmtId="0" fontId="50" fillId="14" borderId="26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22" borderId="27" xfId="0" applyFont="1" applyFill="1" applyBorder="1" applyAlignment="1">
      <alignment horizontal="center" vertical="center"/>
    </xf>
    <xf numFmtId="172" fontId="50" fillId="22" borderId="4" xfId="0" applyNumberFormat="1" applyFont="1" applyFill="1" applyBorder="1" applyAlignment="1">
      <alignment horizontal="center" vertical="center"/>
    </xf>
    <xf numFmtId="172" fontId="50" fillId="22" borderId="17" xfId="0" applyNumberFormat="1" applyFont="1" applyFill="1" applyBorder="1" applyAlignment="1">
      <alignment horizontal="center" vertical="center"/>
    </xf>
    <xf numFmtId="172" fontId="50" fillId="22" borderId="28" xfId="0" applyNumberFormat="1" applyFont="1" applyFill="1" applyBorder="1" applyAlignment="1">
      <alignment horizontal="center" vertical="center"/>
    </xf>
    <xf numFmtId="0" fontId="50" fillId="21" borderId="29" xfId="0" applyFont="1" applyFill="1" applyBorder="1" applyAlignment="1">
      <alignment horizontal="center" vertical="center"/>
    </xf>
    <xf numFmtId="172" fontId="50" fillId="21" borderId="10" xfId="0" applyNumberFormat="1" applyFont="1" applyFill="1" applyBorder="1" applyAlignment="1">
      <alignment horizontal="center" vertical="center"/>
    </xf>
    <xf numFmtId="172" fontId="50" fillId="21" borderId="30" xfId="0" applyNumberFormat="1" applyFont="1" applyFill="1" applyBorder="1" applyAlignment="1">
      <alignment horizontal="center" vertical="center"/>
    </xf>
    <xf numFmtId="0" fontId="49" fillId="14" borderId="31" xfId="0" applyFont="1" applyFill="1" applyBorder="1" applyAlignment="1">
      <alignment horizontal="left" vertical="center" indent="1"/>
    </xf>
    <xf numFmtId="0" fontId="50" fillId="14" borderId="0" xfId="0" applyFont="1" applyFill="1" applyAlignment="1">
      <alignment horizontal="center" vertical="center"/>
    </xf>
    <xf numFmtId="0" fontId="52" fillId="14" borderId="0" xfId="0" applyFont="1" applyFill="1" applyAlignment="1">
      <alignment horizontal="center" vertical="center"/>
    </xf>
    <xf numFmtId="0" fontId="52" fillId="14" borderId="32" xfId="0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50" fillId="22" borderId="33" xfId="0" applyFont="1" applyFill="1" applyBorder="1" applyAlignment="1">
      <alignment horizontal="center" vertical="center"/>
    </xf>
    <xf numFmtId="169" fontId="50" fillId="22" borderId="2" xfId="0" applyNumberFormat="1" applyFont="1" applyFill="1" applyBorder="1" applyAlignment="1">
      <alignment horizontal="center" vertical="center"/>
    </xf>
    <xf numFmtId="0" fontId="11" fillId="14" borderId="0" xfId="0" applyFont="1" applyFill="1" applyAlignment="1">
      <alignment horizontal="center" vertical="center"/>
    </xf>
    <xf numFmtId="172" fontId="54" fillId="0" borderId="0" xfId="0" applyNumberFormat="1" applyFont="1" applyAlignment="1">
      <alignment horizontal="center" vertical="center"/>
    </xf>
    <xf numFmtId="0" fontId="50" fillId="21" borderId="33" xfId="0" applyFont="1" applyFill="1" applyBorder="1" applyAlignment="1">
      <alignment horizontal="center" vertical="center"/>
    </xf>
    <xf numFmtId="169" fontId="50" fillId="21" borderId="2" xfId="0" applyNumberFormat="1" applyFont="1" applyFill="1" applyBorder="1" applyAlignment="1">
      <alignment horizontal="center" vertical="center"/>
    </xf>
    <xf numFmtId="0" fontId="52" fillId="14" borderId="34" xfId="0" applyFont="1" applyFill="1" applyBorder="1" applyAlignment="1">
      <alignment horizontal="center" vertical="center"/>
    </xf>
    <xf numFmtId="169" fontId="52" fillId="14" borderId="35" xfId="0" applyNumberFormat="1" applyFont="1" applyFill="1" applyBorder="1" applyAlignment="1">
      <alignment horizontal="center" vertical="center"/>
    </xf>
    <xf numFmtId="0" fontId="52" fillId="14" borderId="35" xfId="0" applyFont="1" applyFill="1" applyBorder="1" applyAlignment="1">
      <alignment horizontal="center" vertical="center"/>
    </xf>
    <xf numFmtId="0" fontId="52" fillId="14" borderId="36" xfId="0" applyFont="1" applyFill="1" applyBorder="1" applyAlignment="1">
      <alignment horizontal="center" vertical="center"/>
    </xf>
    <xf numFmtId="169" fontId="11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left" vertical="center" indent="1"/>
    </xf>
    <xf numFmtId="0" fontId="56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left" vertical="center" indent="1"/>
    </xf>
    <xf numFmtId="164" fontId="57" fillId="4" borderId="6" xfId="12" applyNumberFormat="1" applyFont="1" applyFill="1" applyBorder="1" applyAlignment="1">
      <alignment horizontal="center" vertical="center"/>
    </xf>
    <xf numFmtId="0" fontId="58" fillId="0" borderId="6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165" fontId="59" fillId="0" borderId="6" xfId="0" applyNumberFormat="1" applyFont="1" applyBorder="1" applyAlignment="1">
      <alignment horizontal="center" vertical="center"/>
    </xf>
    <xf numFmtId="165" fontId="46" fillId="0" borderId="0" xfId="0" applyNumberFormat="1" applyFont="1" applyAlignment="1">
      <alignment horizontal="right" vertical="center"/>
    </xf>
    <xf numFmtId="0" fontId="56" fillId="0" borderId="16" xfId="0" applyFont="1" applyBorder="1" applyAlignment="1">
      <alignment horizontal="center" vertical="center"/>
    </xf>
    <xf numFmtId="165" fontId="56" fillId="22" borderId="4" xfId="0" applyNumberFormat="1" applyFont="1" applyFill="1" applyBorder="1" applyAlignment="1">
      <alignment horizontal="center" vertical="center"/>
    </xf>
    <xf numFmtId="165" fontId="56" fillId="22" borderId="17" xfId="0" applyNumberFormat="1" applyFont="1" applyFill="1" applyBorder="1" applyAlignment="1">
      <alignment horizontal="center" vertical="center"/>
    </xf>
    <xf numFmtId="165" fontId="56" fillId="22" borderId="5" xfId="0" applyNumberFormat="1" applyFont="1" applyFill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164" fontId="47" fillId="0" borderId="19" xfId="12" applyNumberFormat="1" applyFont="1" applyFill="1" applyBorder="1" applyAlignment="1">
      <alignment horizontal="right" vertical="center"/>
    </xf>
    <xf numFmtId="164" fontId="46" fillId="0" borderId="0" xfId="12" applyNumberFormat="1" applyFont="1" applyFill="1" applyAlignment="1">
      <alignment horizontal="right" vertical="center"/>
    </xf>
    <xf numFmtId="0" fontId="56" fillId="0" borderId="18" xfId="0" applyFont="1" applyBorder="1" applyAlignment="1">
      <alignment horizontal="center" vertical="center"/>
    </xf>
    <xf numFmtId="165" fontId="56" fillId="22" borderId="9" xfId="0" applyNumberFormat="1" applyFont="1" applyFill="1" applyBorder="1" applyAlignment="1">
      <alignment horizontal="center" vertical="center"/>
    </xf>
    <xf numFmtId="165" fontId="56" fillId="22" borderId="10" xfId="0" applyNumberFormat="1" applyFont="1" applyFill="1" applyBorder="1" applyAlignment="1">
      <alignment horizontal="center" vertical="center"/>
    </xf>
    <xf numFmtId="165" fontId="56" fillId="22" borderId="3" xfId="0" applyNumberFormat="1" applyFont="1" applyFill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164" fontId="47" fillId="0" borderId="18" xfId="12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165" fontId="56" fillId="0" borderId="0" xfId="0" applyNumberFormat="1" applyFont="1" applyAlignment="1">
      <alignment horizontal="left" vertical="center" indent="1"/>
    </xf>
    <xf numFmtId="164" fontId="47" fillId="0" borderId="0" xfId="12" applyNumberFormat="1" applyFont="1" applyFill="1" applyAlignment="1">
      <alignment horizontal="center" vertical="center"/>
    </xf>
    <xf numFmtId="0" fontId="60" fillId="0" borderId="0" xfId="0" applyFont="1" applyAlignment="1">
      <alignment horizontal="left" vertical="center" indent="1"/>
    </xf>
    <xf numFmtId="0" fontId="60" fillId="0" borderId="0" xfId="0" applyFont="1" applyAlignment="1">
      <alignment horizontal="center" vertical="center"/>
    </xf>
    <xf numFmtId="164" fontId="47" fillId="4" borderId="6" xfId="12" applyNumberFormat="1" applyFont="1" applyFill="1" applyBorder="1" applyAlignment="1">
      <alignment horizontal="center" vertical="center"/>
    </xf>
    <xf numFmtId="166" fontId="20" fillId="0" borderId="0" xfId="0" applyNumberFormat="1" applyFont="1" applyAlignment="1">
      <alignment horizontal="right" vertical="center"/>
    </xf>
    <xf numFmtId="0" fontId="60" fillId="0" borderId="16" xfId="0" applyFont="1" applyBorder="1" applyAlignment="1">
      <alignment horizontal="center" vertical="center"/>
    </xf>
    <xf numFmtId="165" fontId="60" fillId="22" borderId="4" xfId="0" applyNumberFormat="1" applyFont="1" applyFill="1" applyBorder="1" applyAlignment="1">
      <alignment horizontal="center" vertical="center"/>
    </xf>
    <xf numFmtId="165" fontId="60" fillId="22" borderId="17" xfId="0" applyNumberFormat="1" applyFont="1" applyFill="1" applyBorder="1" applyAlignment="1">
      <alignment horizontal="center" vertical="center"/>
    </xf>
    <xf numFmtId="165" fontId="60" fillId="22" borderId="5" xfId="0" applyNumberFormat="1" applyFont="1" applyFill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165" fontId="60" fillId="22" borderId="9" xfId="0" applyNumberFormat="1" applyFont="1" applyFill="1" applyBorder="1" applyAlignment="1">
      <alignment horizontal="center" vertical="center"/>
    </xf>
    <xf numFmtId="165" fontId="60" fillId="22" borderId="10" xfId="0" applyNumberFormat="1" applyFont="1" applyFill="1" applyBorder="1" applyAlignment="1">
      <alignment horizontal="center" vertical="center"/>
    </xf>
    <xf numFmtId="165" fontId="60" fillId="22" borderId="3" xfId="0" applyNumberFormat="1" applyFont="1" applyFill="1" applyBorder="1" applyAlignment="1">
      <alignment horizontal="center" vertical="center"/>
    </xf>
    <xf numFmtId="165" fontId="44" fillId="0" borderId="0" xfId="0" applyNumberFormat="1" applyFont="1" applyAlignment="1">
      <alignment horizontal="center" vertical="center"/>
    </xf>
    <xf numFmtId="3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4" fontId="46" fillId="0" borderId="0" xfId="0" applyNumberFormat="1" applyFont="1" applyAlignment="1">
      <alignment horizontal="center" vertical="center"/>
    </xf>
    <xf numFmtId="4" fontId="6" fillId="5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Continuous" vertical="center" wrapText="1"/>
    </xf>
    <xf numFmtId="0" fontId="4" fillId="2" borderId="2" xfId="0" applyFont="1" applyFill="1" applyBorder="1" applyAlignment="1">
      <alignment horizontal="centerContinuous" vertical="center" wrapText="1"/>
    </xf>
    <xf numFmtId="0" fontId="6" fillId="0" borderId="3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centerContinuous" vertical="center"/>
    </xf>
    <xf numFmtId="0" fontId="7" fillId="3" borderId="5" xfId="0" applyFont="1" applyFill="1" applyBorder="1" applyAlignment="1">
      <alignment horizontal="centerContinuous" vertical="center"/>
    </xf>
    <xf numFmtId="0" fontId="7" fillId="4" borderId="4" xfId="0" applyFont="1" applyFill="1" applyBorder="1" applyAlignment="1">
      <alignment horizontal="centerContinuous" vertical="center"/>
    </xf>
    <xf numFmtId="0" fontId="7" fillId="4" borderId="5" xfId="0" applyFont="1" applyFill="1" applyBorder="1" applyAlignment="1">
      <alignment horizontal="centerContinuous" vertical="center"/>
    </xf>
    <xf numFmtId="0" fontId="7" fillId="4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8" fillId="0" borderId="2" xfId="12" applyNumberFormat="1" applyFont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9" fontId="4" fillId="0" borderId="0" xfId="12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" fontId="11" fillId="3" borderId="7" xfId="0" applyNumberFormat="1" applyFont="1" applyFill="1" applyBorder="1" applyAlignment="1">
      <alignment horizontal="right" vertical="center"/>
    </xf>
    <xf numFmtId="164" fontId="8" fillId="6" borderId="8" xfId="12" applyNumberFormat="1" applyFont="1" applyFill="1" applyBorder="1" applyAlignment="1">
      <alignment horizontal="center" vertical="center"/>
    </xf>
    <xf numFmtId="4" fontId="12" fillId="4" borderId="7" xfId="0" applyNumberFormat="1" applyFont="1" applyFill="1" applyBorder="1" applyAlignment="1">
      <alignment horizontal="center" vertical="center"/>
    </xf>
    <xf numFmtId="164" fontId="8" fillId="0" borderId="8" xfId="12" applyNumberFormat="1" applyFont="1" applyBorder="1" applyAlignment="1">
      <alignment horizontal="center" vertical="center"/>
    </xf>
    <xf numFmtId="2" fontId="12" fillId="4" borderId="8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" fontId="11" fillId="3" borderId="9" xfId="0" applyNumberFormat="1" applyFont="1" applyFill="1" applyBorder="1" applyAlignment="1">
      <alignment horizontal="right" vertical="center"/>
    </xf>
    <xf numFmtId="164" fontId="8" fillId="6" borderId="3" xfId="12" applyNumberFormat="1" applyFont="1" applyFill="1" applyBorder="1" applyAlignment="1">
      <alignment horizontal="center" vertical="center"/>
    </xf>
    <xf numFmtId="4" fontId="12" fillId="4" borderId="9" xfId="0" applyNumberFormat="1" applyFont="1" applyFill="1" applyBorder="1" applyAlignment="1">
      <alignment horizontal="center" vertical="center"/>
    </xf>
    <xf numFmtId="164" fontId="8" fillId="0" borderId="3" xfId="12" applyNumberFormat="1" applyFont="1" applyBorder="1" applyAlignment="1">
      <alignment horizontal="center" vertical="center"/>
    </xf>
    <xf numFmtId="2" fontId="12" fillId="4" borderId="3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" fontId="11" fillId="6" borderId="0" xfId="0" applyNumberFormat="1" applyFont="1" applyFill="1" applyAlignment="1">
      <alignment horizontal="center" vertical="center"/>
    </xf>
    <xf numFmtId="0" fontId="4" fillId="6" borderId="0" xfId="0" applyFont="1" applyFill="1" applyAlignment="1">
      <alignment horizontal="left" vertical="center"/>
    </xf>
    <xf numFmtId="165" fontId="9" fillId="4" borderId="1" xfId="0" applyNumberFormat="1" applyFont="1" applyFill="1" applyBorder="1" applyAlignment="1">
      <alignment horizontal="center" vertical="center"/>
    </xf>
    <xf numFmtId="166" fontId="12" fillId="4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0" fillId="6" borderId="0" xfId="0" applyNumberFormat="1" applyFont="1" applyFill="1" applyAlignment="1">
      <alignment horizontal="center" vertical="center"/>
    </xf>
    <xf numFmtId="0" fontId="10" fillId="6" borderId="0" xfId="0" applyFont="1" applyFill="1" applyAlignment="1">
      <alignment horizontal="left" vertical="center"/>
    </xf>
    <xf numFmtId="0" fontId="18" fillId="7" borderId="11" xfId="0" applyFont="1" applyFill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 horizontal="left" vertical="center" indent="1"/>
    </xf>
    <xf numFmtId="0" fontId="7" fillId="0" borderId="18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 indent="1"/>
    </xf>
    <xf numFmtId="0" fontId="4" fillId="0" borderId="0" xfId="6" applyFont="1" applyAlignment="1">
      <alignment horizontal="center" vertical="center"/>
    </xf>
    <xf numFmtId="2" fontId="4" fillId="0" borderId="0" xfId="6" applyNumberFormat="1" applyFont="1" applyAlignment="1">
      <alignment horizontal="center" vertical="center"/>
    </xf>
    <xf numFmtId="0" fontId="15" fillId="0" borderId="0" xfId="6" applyFont="1" applyAlignment="1">
      <alignment horizontal="left" vertical="center"/>
    </xf>
    <xf numFmtId="0" fontId="15" fillId="0" borderId="0" xfId="6" applyFont="1" applyAlignment="1">
      <alignment horizontal="center" vertical="center"/>
    </xf>
    <xf numFmtId="167" fontId="4" fillId="0" borderId="0" xfId="9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17" fontId="21" fillId="8" borderId="6" xfId="6" applyNumberFormat="1" applyFont="1" applyFill="1" applyBorder="1" applyAlignment="1">
      <alignment horizontal="center"/>
    </xf>
    <xf numFmtId="0" fontId="15" fillId="0" borderId="1" xfId="6" applyFont="1" applyBorder="1" applyAlignment="1">
      <alignment horizontal="center" vertical="center" wrapText="1"/>
    </xf>
    <xf numFmtId="0" fontId="15" fillId="0" borderId="13" xfId="6" applyFont="1" applyBorder="1" applyAlignment="1">
      <alignment horizontal="center" vertical="center" wrapText="1"/>
    </xf>
    <xf numFmtId="0" fontId="15" fillId="0" borderId="6" xfId="6" applyFont="1" applyBorder="1" applyAlignment="1">
      <alignment horizontal="center" vertical="center" wrapText="1"/>
    </xf>
    <xf numFmtId="0" fontId="15" fillId="0" borderId="2" xfId="6" applyFont="1" applyBorder="1" applyAlignment="1">
      <alignment horizontal="center" vertical="center" wrapText="1"/>
    </xf>
    <xf numFmtId="0" fontId="23" fillId="0" borderId="0" xfId="6" applyFont="1" applyAlignment="1">
      <alignment horizontal="left" vertical="center" indent="1"/>
    </xf>
    <xf numFmtId="0" fontId="15" fillId="0" borderId="1" xfId="6" applyFont="1" applyBorder="1" applyAlignment="1">
      <alignment horizontal="center" vertical="center"/>
    </xf>
    <xf numFmtId="0" fontId="15" fillId="0" borderId="13" xfId="6" applyFont="1" applyBorder="1" applyAlignment="1">
      <alignment horizontal="center" vertical="center"/>
    </xf>
    <xf numFmtId="0" fontId="15" fillId="0" borderId="6" xfId="6" applyFont="1" applyBorder="1" applyAlignment="1">
      <alignment horizontal="center" vertical="center"/>
    </xf>
    <xf numFmtId="0" fontId="15" fillId="0" borderId="2" xfId="6" applyFont="1" applyBorder="1" applyAlignment="1">
      <alignment horizontal="center" vertical="center"/>
    </xf>
    <xf numFmtId="0" fontId="23" fillId="0" borderId="0" xfId="0" applyFont="1" applyAlignment="1">
      <alignment horizontal="left" vertical="center" indent="1"/>
    </xf>
    <xf numFmtId="2" fontId="23" fillId="0" borderId="0" xfId="0" applyNumberFormat="1" applyFont="1" applyAlignment="1">
      <alignment horizontal="left" vertical="center" indent="1"/>
    </xf>
    <xf numFmtId="0" fontId="5" fillId="4" borderId="7" xfId="6" applyFont="1" applyFill="1" applyBorder="1" applyAlignment="1">
      <alignment horizontal="right" vertical="center"/>
    </xf>
    <xf numFmtId="0" fontId="5" fillId="4" borderId="0" xfId="6" applyFont="1" applyFill="1" applyAlignment="1">
      <alignment horizontal="center" vertical="center"/>
    </xf>
    <xf numFmtId="0" fontId="5" fillId="4" borderId="19" xfId="6" applyFont="1" applyFill="1" applyBorder="1" applyAlignment="1">
      <alignment horizontal="center" vertical="center"/>
    </xf>
    <xf numFmtId="2" fontId="5" fillId="4" borderId="8" xfId="6" applyNumberFormat="1" applyFont="1" applyFill="1" applyBorder="1" applyAlignment="1">
      <alignment horizontal="center" vertical="center"/>
    </xf>
    <xf numFmtId="1" fontId="5" fillId="4" borderId="8" xfId="6" applyNumberFormat="1" applyFont="1" applyFill="1" applyBorder="1" applyAlignment="1">
      <alignment horizontal="center" vertical="center"/>
    </xf>
    <xf numFmtId="0" fontId="20" fillId="0" borderId="0" xfId="6" applyFont="1" applyAlignment="1">
      <alignment horizontal="left" vertical="center" indent="1"/>
    </xf>
    <xf numFmtId="0" fontId="5" fillId="4" borderId="7" xfId="6" applyFont="1" applyFill="1" applyBorder="1" applyAlignment="1">
      <alignment horizontal="center" vertical="center"/>
    </xf>
    <xf numFmtId="2" fontId="4" fillId="0" borderId="8" xfId="6" applyNumberFormat="1" applyFont="1" applyBorder="1" applyAlignment="1">
      <alignment horizontal="center" vertical="center"/>
    </xf>
    <xf numFmtId="0" fontId="24" fillId="0" borderId="7" xfId="6" applyFont="1" applyBorder="1" applyAlignment="1">
      <alignment horizontal="left" vertical="center" indent="1"/>
    </xf>
    <xf numFmtId="0" fontId="4" fillId="0" borderId="7" xfId="6" applyFont="1" applyBorder="1" applyAlignment="1">
      <alignment horizontal="left" vertical="center" indent="2"/>
    </xf>
    <xf numFmtId="0" fontId="4" fillId="0" borderId="9" xfId="6" applyFont="1" applyBorder="1" applyAlignment="1">
      <alignment horizontal="left" vertical="center" indent="3"/>
    </xf>
    <xf numFmtId="0" fontId="4" fillId="0" borderId="10" xfId="6" applyFont="1" applyBorder="1" applyAlignment="1">
      <alignment horizontal="center" vertical="center"/>
    </xf>
    <xf numFmtId="0" fontId="4" fillId="0" borderId="18" xfId="6" applyFont="1" applyBorder="1" applyAlignment="1">
      <alignment horizontal="center" vertical="center"/>
    </xf>
    <xf numFmtId="2" fontId="4" fillId="0" borderId="3" xfId="6" applyNumberFormat="1" applyFont="1" applyBorder="1" applyAlignment="1">
      <alignment horizontal="center" vertical="center"/>
    </xf>
    <xf numFmtId="0" fontId="5" fillId="4" borderId="4" xfId="6" applyFont="1" applyFill="1" applyBorder="1" applyAlignment="1">
      <alignment horizontal="left" vertical="center"/>
    </xf>
    <xf numFmtId="0" fontId="5" fillId="4" borderId="17" xfId="6" applyFont="1" applyFill="1" applyBorder="1" applyAlignment="1">
      <alignment horizontal="center" vertical="center"/>
    </xf>
    <xf numFmtId="0" fontId="5" fillId="4" borderId="16" xfId="6" applyFont="1" applyFill="1" applyBorder="1" applyAlignment="1">
      <alignment horizontal="center" vertical="center"/>
    </xf>
    <xf numFmtId="2" fontId="5" fillId="4" borderId="5" xfId="6" applyNumberFormat="1" applyFont="1" applyFill="1" applyBorder="1" applyAlignment="1">
      <alignment horizontal="center" vertical="center"/>
    </xf>
    <xf numFmtId="1" fontId="4" fillId="16" borderId="8" xfId="6" applyNumberFormat="1" applyFont="1" applyFill="1" applyBorder="1" applyAlignment="1">
      <alignment horizontal="center" vertical="center"/>
    </xf>
    <xf numFmtId="2" fontId="5" fillId="4" borderId="16" xfId="6" applyNumberFormat="1" applyFont="1" applyFill="1" applyBorder="1" applyAlignment="1">
      <alignment horizontal="center" vertical="center"/>
    </xf>
    <xf numFmtId="0" fontId="5" fillId="0" borderId="7" xfId="6" applyFont="1" applyBorder="1" applyAlignment="1">
      <alignment horizontal="left" vertical="center" wrapText="1" indent="2"/>
    </xf>
    <xf numFmtId="0" fontId="4" fillId="0" borderId="7" xfId="6" applyFont="1" applyBorder="1" applyAlignment="1">
      <alignment horizontal="left" vertical="center" indent="3"/>
    </xf>
    <xf numFmtId="0" fontId="5" fillId="4" borderId="4" xfId="6" applyFont="1" applyFill="1" applyBorder="1" applyAlignment="1">
      <alignment horizontal="center" vertical="center"/>
    </xf>
    <xf numFmtId="0" fontId="5" fillId="4" borderId="7" xfId="6" applyFont="1" applyFill="1" applyBorder="1" applyAlignment="1">
      <alignment horizontal="left" vertical="center"/>
    </xf>
    <xf numFmtId="2" fontId="4" fillId="0" borderId="19" xfId="6" applyNumberFormat="1" applyFont="1" applyBorder="1" applyAlignment="1">
      <alignment horizontal="center" vertical="center"/>
    </xf>
    <xf numFmtId="0" fontId="11" fillId="0" borderId="7" xfId="6" applyFont="1" applyBorder="1" applyAlignment="1">
      <alignment horizontal="left" vertical="center" indent="2"/>
    </xf>
    <xf numFmtId="0" fontId="4" fillId="0" borderId="7" xfId="6" applyFont="1" applyBorder="1" applyAlignment="1">
      <alignment horizontal="center" vertical="center"/>
    </xf>
    <xf numFmtId="0" fontId="4" fillId="0" borderId="8" xfId="6" applyFont="1" applyBorder="1" applyAlignment="1">
      <alignment horizontal="center" vertical="center"/>
    </xf>
    <xf numFmtId="0" fontId="5" fillId="4" borderId="4" xfId="6" applyFont="1" applyFill="1" applyBorder="1" applyAlignment="1">
      <alignment horizontal="right" vertical="center"/>
    </xf>
    <xf numFmtId="1" fontId="5" fillId="4" borderId="5" xfId="6" applyNumberFormat="1" applyFont="1" applyFill="1" applyBorder="1" applyAlignment="1">
      <alignment horizontal="center" vertical="center"/>
    </xf>
    <xf numFmtId="0" fontId="25" fillId="0" borderId="7" xfId="6" applyFont="1" applyBorder="1" applyAlignment="1">
      <alignment horizontal="left" vertical="center" indent="1"/>
    </xf>
    <xf numFmtId="2" fontId="4" fillId="0" borderId="18" xfId="6" applyNumberFormat="1" applyFont="1" applyBorder="1" applyAlignment="1">
      <alignment horizontal="center" vertical="center"/>
    </xf>
    <xf numFmtId="0" fontId="4" fillId="0" borderId="9" xfId="6" applyFont="1" applyBorder="1" applyAlignment="1">
      <alignment horizontal="center" vertical="center"/>
    </xf>
    <xf numFmtId="0" fontId="4" fillId="0" borderId="3" xfId="6" applyFont="1" applyBorder="1" applyAlignment="1">
      <alignment horizontal="center" vertical="center"/>
    </xf>
    <xf numFmtId="1" fontId="4" fillId="0" borderId="3" xfId="6" applyNumberFormat="1" applyFont="1" applyBorder="1" applyAlignment="1">
      <alignment horizontal="center" vertical="center"/>
    </xf>
    <xf numFmtId="2" fontId="20" fillId="0" borderId="0" xfId="0" applyNumberFormat="1" applyFont="1" applyAlignment="1">
      <alignment horizontal="left" vertical="center" indent="1"/>
    </xf>
    <xf numFmtId="0" fontId="5" fillId="11" borderId="7" xfId="6" applyFont="1" applyFill="1" applyBorder="1" applyAlignment="1">
      <alignment horizontal="left" vertical="center" indent="2"/>
    </xf>
    <xf numFmtId="0" fontId="4" fillId="0" borderId="19" xfId="6" quotePrefix="1" applyFont="1" applyBorder="1" applyAlignment="1">
      <alignment horizontal="center" vertical="center"/>
    </xf>
    <xf numFmtId="0" fontId="4" fillId="0" borderId="7" xfId="6" applyFont="1" applyBorder="1" applyAlignment="1">
      <alignment horizontal="left" vertical="center" indent="1"/>
    </xf>
    <xf numFmtId="0" fontId="11" fillId="0" borderId="0" xfId="6" applyFont="1" applyAlignment="1">
      <alignment horizontal="center" vertical="center"/>
    </xf>
    <xf numFmtId="0" fontId="11" fillId="0" borderId="19" xfId="6" quotePrefix="1" applyFont="1" applyBorder="1" applyAlignment="1">
      <alignment horizontal="center" vertical="center"/>
    </xf>
    <xf numFmtId="1" fontId="11" fillId="0" borderId="8" xfId="6" applyNumberFormat="1" applyFont="1" applyBorder="1" applyAlignment="1">
      <alignment horizontal="center" vertical="center"/>
    </xf>
    <xf numFmtId="168" fontId="4" fillId="0" borderId="0" xfId="6" applyNumberFormat="1" applyFont="1" applyAlignment="1">
      <alignment horizontal="center" vertical="center"/>
    </xf>
    <xf numFmtId="168" fontId="28" fillId="0" borderId="0" xfId="6" applyNumberFormat="1" applyFont="1"/>
    <xf numFmtId="2" fontId="4" fillId="12" borderId="8" xfId="6" applyNumberFormat="1" applyFont="1" applyFill="1" applyBorder="1" applyAlignment="1">
      <alignment horizontal="center" vertical="center"/>
    </xf>
    <xf numFmtId="0" fontId="4" fillId="13" borderId="0" xfId="6" applyFont="1" applyFill="1" applyAlignment="1">
      <alignment horizontal="center" vertical="center"/>
    </xf>
    <xf numFmtId="0" fontId="4" fillId="13" borderId="19" xfId="6" quotePrefix="1" applyFont="1" applyFill="1" applyBorder="1" applyAlignment="1">
      <alignment horizontal="center" vertical="center"/>
    </xf>
    <xf numFmtId="2" fontId="26" fillId="16" borderId="8" xfId="6" applyNumberFormat="1" applyFont="1" applyFill="1" applyBorder="1" applyAlignment="1">
      <alignment horizontal="center" vertical="center"/>
    </xf>
    <xf numFmtId="0" fontId="4" fillId="14" borderId="19" xfId="6" applyFont="1" applyFill="1" applyBorder="1" applyAlignment="1">
      <alignment horizontal="center" vertical="center"/>
    </xf>
    <xf numFmtId="0" fontId="29" fillId="0" borderId="0" xfId="10"/>
    <xf numFmtId="2" fontId="4" fillId="9" borderId="0" xfId="6" applyNumberFormat="1" applyFont="1" applyFill="1" applyAlignment="1">
      <alignment horizontal="center" vertical="center"/>
    </xf>
    <xf numFmtId="0" fontId="4" fillId="0" borderId="9" xfId="6" applyFont="1" applyBorder="1" applyAlignment="1">
      <alignment horizontal="left" vertical="center" indent="2"/>
    </xf>
    <xf numFmtId="2" fontId="61" fillId="0" borderId="8" xfId="6" applyNumberFormat="1" applyFont="1" applyBorder="1" applyAlignment="1">
      <alignment horizontal="center" vertical="center"/>
    </xf>
    <xf numFmtId="1" fontId="30" fillId="0" borderId="8" xfId="6" applyNumberFormat="1" applyFont="1" applyBorder="1" applyAlignment="1">
      <alignment horizontal="center" vertical="center"/>
    </xf>
    <xf numFmtId="0" fontId="4" fillId="4" borderId="17" xfId="6" applyFont="1" applyFill="1" applyBorder="1" applyAlignment="1">
      <alignment horizontal="center" vertical="center"/>
    </xf>
    <xf numFmtId="0" fontId="4" fillId="4" borderId="19" xfId="6" applyFont="1" applyFill="1" applyBorder="1" applyAlignment="1">
      <alignment horizontal="center" vertical="center"/>
    </xf>
    <xf numFmtId="2" fontId="4" fillId="16" borderId="8" xfId="6" applyNumberFormat="1" applyFont="1" applyFill="1" applyBorder="1" applyAlignment="1">
      <alignment horizontal="center" vertical="center"/>
    </xf>
    <xf numFmtId="2" fontId="26" fillId="0" borderId="8" xfId="8" applyNumberFormat="1" applyFont="1" applyBorder="1" applyAlignment="1">
      <alignment horizontal="center" vertical="center"/>
    </xf>
    <xf numFmtId="0" fontId="4" fillId="4" borderId="16" xfId="6" applyFont="1" applyFill="1" applyBorder="1" applyAlignment="1">
      <alignment horizontal="center" vertical="center"/>
    </xf>
    <xf numFmtId="172" fontId="20" fillId="0" borderId="0" xfId="0" applyNumberFormat="1" applyFont="1" applyAlignment="1">
      <alignment horizontal="left" vertical="center" inden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7" xfId="8" applyFont="1" applyBorder="1" applyAlignment="1">
      <alignment horizontal="center" vertical="center"/>
    </xf>
    <xf numFmtId="0" fontId="24" fillId="0" borderId="7" xfId="8" applyFont="1" applyBorder="1" applyAlignment="1">
      <alignment horizontal="left" vertical="center" indent="1"/>
    </xf>
    <xf numFmtId="173" fontId="50" fillId="22" borderId="4" xfId="0" applyNumberFormat="1" applyFont="1" applyFill="1" applyBorder="1" applyAlignment="1">
      <alignment horizontal="center" vertical="center"/>
    </xf>
    <xf numFmtId="173" fontId="50" fillId="22" borderId="17" xfId="0" applyNumberFormat="1" applyFont="1" applyFill="1" applyBorder="1" applyAlignment="1">
      <alignment horizontal="center" vertical="center"/>
    </xf>
    <xf numFmtId="173" fontId="50" fillId="22" borderId="28" xfId="0" applyNumberFormat="1" applyFont="1" applyFill="1" applyBorder="1" applyAlignment="1">
      <alignment horizontal="center" vertical="center"/>
    </xf>
    <xf numFmtId="173" fontId="50" fillId="21" borderId="10" xfId="0" applyNumberFormat="1" applyFont="1" applyFill="1" applyBorder="1" applyAlignment="1">
      <alignment horizontal="center" vertical="center"/>
    </xf>
    <xf numFmtId="173" fontId="50" fillId="21" borderId="30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1" fontId="5" fillId="4" borderId="16" xfId="1" applyNumberFormat="1" applyFont="1" applyFill="1" applyBorder="1" applyAlignment="1">
      <alignment horizontal="center" vertical="center"/>
    </xf>
    <xf numFmtId="0" fontId="5" fillId="4" borderId="4" xfId="8" applyFont="1" applyFill="1" applyBorder="1" applyAlignment="1">
      <alignment horizontal="center" vertical="center"/>
    </xf>
    <xf numFmtId="0" fontId="5" fillId="4" borderId="17" xfId="8" applyFont="1" applyFill="1" applyBorder="1" applyAlignment="1">
      <alignment horizontal="center" vertical="center"/>
    </xf>
    <xf numFmtId="2" fontId="5" fillId="4" borderId="16" xfId="8" applyNumberFormat="1" applyFont="1" applyFill="1" applyBorder="1" applyAlignment="1">
      <alignment horizontal="center" vertical="center"/>
    </xf>
    <xf numFmtId="0" fontId="103" fillId="0" borderId="55" xfId="0" applyFont="1" applyBorder="1" applyAlignment="1">
      <alignment vertical="center"/>
    </xf>
    <xf numFmtId="2" fontId="104" fillId="0" borderId="19" xfId="0" applyNumberFormat="1" applyFont="1" applyBorder="1" applyAlignment="1">
      <alignment horizontal="center" vertical="center"/>
    </xf>
    <xf numFmtId="1" fontId="4" fillId="0" borderId="19" xfId="1" applyNumberFormat="1" applyFont="1" applyBorder="1" applyAlignment="1">
      <alignment horizontal="center" vertical="center"/>
    </xf>
    <xf numFmtId="0" fontId="4" fillId="0" borderId="9" xfId="8" applyFont="1" applyBorder="1" applyAlignment="1">
      <alignment horizontal="left" vertical="center" indent="3"/>
    </xf>
    <xf numFmtId="0" fontId="4" fillId="0" borderId="10" xfId="8" applyFont="1" applyBorder="1" applyAlignment="1">
      <alignment horizontal="center" vertical="center"/>
    </xf>
    <xf numFmtId="0" fontId="4" fillId="0" borderId="9" xfId="8" applyFont="1" applyBorder="1" applyAlignment="1">
      <alignment horizontal="center" vertical="center"/>
    </xf>
    <xf numFmtId="0" fontId="4" fillId="0" borderId="18" xfId="8" applyFont="1" applyBorder="1" applyAlignment="1">
      <alignment horizontal="center" vertical="center"/>
    </xf>
    <xf numFmtId="0" fontId="5" fillId="4" borderId="4" xfId="8" applyFont="1" applyFill="1" applyBorder="1" applyAlignment="1">
      <alignment horizontal="left" vertical="center"/>
    </xf>
    <xf numFmtId="0" fontId="103" fillId="3" borderId="55" xfId="0" applyFont="1" applyFill="1" applyBorder="1" applyAlignment="1">
      <alignment vertical="center"/>
    </xf>
    <xf numFmtId="2" fontId="104" fillId="3" borderId="19" xfId="0" applyNumberFormat="1" applyFont="1" applyFill="1" applyBorder="1" applyAlignment="1">
      <alignment horizontal="center" vertical="center"/>
    </xf>
    <xf numFmtId="0" fontId="105" fillId="77" borderId="55" xfId="0" applyFont="1" applyFill="1" applyBorder="1" applyAlignment="1">
      <alignment vertical="center"/>
    </xf>
    <xf numFmtId="2" fontId="4" fillId="0" borderId="18" xfId="8" applyNumberFormat="1" applyFont="1" applyBorder="1" applyAlignment="1">
      <alignment horizontal="center" vertical="center"/>
    </xf>
    <xf numFmtId="0" fontId="103" fillId="77" borderId="55" xfId="0" applyFont="1" applyFill="1" applyBorder="1" applyAlignment="1">
      <alignment vertical="center"/>
    </xf>
    <xf numFmtId="0" fontId="5" fillId="4" borderId="7" xfId="8" applyFont="1" applyFill="1" applyBorder="1" applyAlignment="1">
      <alignment horizontal="left" vertical="center"/>
    </xf>
    <xf numFmtId="0" fontId="5" fillId="4" borderId="0" xfId="8" applyFont="1" applyFill="1" applyAlignment="1">
      <alignment horizontal="center" vertical="center"/>
    </xf>
    <xf numFmtId="0" fontId="5" fillId="4" borderId="7" xfId="8" applyFont="1" applyFill="1" applyBorder="1" applyAlignment="1">
      <alignment horizontal="center" vertical="center"/>
    </xf>
    <xf numFmtId="2" fontId="5" fillId="4" borderId="19" xfId="8" applyNumberFormat="1" applyFont="1" applyFill="1" applyBorder="1" applyAlignment="1">
      <alignment horizontal="center" vertical="center"/>
    </xf>
    <xf numFmtId="2" fontId="4" fillId="0" borderId="19" xfId="8" applyNumberFormat="1" applyFont="1" applyBorder="1" applyAlignment="1">
      <alignment horizontal="center" vertical="center"/>
    </xf>
    <xf numFmtId="0" fontId="11" fillId="0" borderId="7" xfId="8" applyFont="1" applyBorder="1" applyAlignment="1">
      <alignment horizontal="left" vertical="center" indent="2"/>
    </xf>
    <xf numFmtId="0" fontId="103" fillId="0" borderId="55" xfId="0" applyFont="1" applyBorder="1" applyAlignment="1">
      <alignment horizontal="left" vertical="center"/>
    </xf>
    <xf numFmtId="0" fontId="25" fillId="0" borderId="7" xfId="8" applyFont="1" applyBorder="1" applyAlignment="1">
      <alignment horizontal="left" vertical="center" indent="1"/>
    </xf>
    <xf numFmtId="1" fontId="4" fillId="0" borderId="18" xfId="1" applyNumberFormat="1" applyFont="1" applyBorder="1" applyAlignment="1">
      <alignment horizontal="center" vertical="center"/>
    </xf>
    <xf numFmtId="0" fontId="4" fillId="0" borderId="7" xfId="8" applyFont="1" applyBorder="1" applyAlignment="1">
      <alignment horizontal="left" vertical="center" indent="3"/>
    </xf>
    <xf numFmtId="1" fontId="5" fillId="4" borderId="19" xfId="1" applyNumberFormat="1" applyFont="1" applyFill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1" fontId="11" fillId="0" borderId="19" xfId="1" applyNumberFormat="1" applyFont="1" applyBorder="1" applyAlignment="1">
      <alignment horizontal="center" vertical="center"/>
    </xf>
    <xf numFmtId="2" fontId="5" fillId="4" borderId="17" xfId="8" applyNumberFormat="1" applyFont="1" applyFill="1" applyBorder="1" applyAlignment="1">
      <alignment horizontal="center" vertical="center"/>
    </xf>
    <xf numFmtId="0" fontId="4" fillId="0" borderId="7" xfId="8" applyFont="1" applyBorder="1" applyAlignment="1">
      <alignment horizontal="left" vertical="center" indent="1"/>
    </xf>
    <xf numFmtId="2" fontId="27" fillId="0" borderId="19" xfId="0" applyNumberFormat="1" applyFont="1" applyBorder="1" applyAlignment="1">
      <alignment horizontal="center"/>
    </xf>
    <xf numFmtId="0" fontId="105" fillId="0" borderId="55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2" fontId="4" fillId="4" borderId="16" xfId="1" applyNumberFormat="1" applyFont="1" applyFill="1" applyBorder="1" applyAlignment="1">
      <alignment horizontal="center" vertical="center"/>
    </xf>
    <xf numFmtId="1" fontId="26" fillId="0" borderId="19" xfId="1" applyNumberFormat="1" applyFont="1" applyBorder="1" applyAlignment="1">
      <alignment horizontal="center" vertical="center"/>
    </xf>
    <xf numFmtId="2" fontId="106" fillId="2" borderId="19" xfId="0" applyNumberFormat="1" applyFont="1" applyFill="1" applyBorder="1" applyAlignment="1">
      <alignment horizontal="center" vertical="center"/>
    </xf>
    <xf numFmtId="2" fontId="52" fillId="0" borderId="19" xfId="0" applyNumberFormat="1" applyFont="1" applyBorder="1" applyAlignment="1">
      <alignment horizontal="center" vertical="center"/>
    </xf>
    <xf numFmtId="0" fontId="103" fillId="3" borderId="55" xfId="0" applyFont="1" applyFill="1" applyBorder="1" applyAlignment="1">
      <alignment horizontal="left" vertical="center"/>
    </xf>
    <xf numFmtId="2" fontId="52" fillId="3" borderId="19" xfId="0" applyNumberFormat="1" applyFont="1" applyFill="1" applyBorder="1" applyAlignment="1">
      <alignment horizontal="center" vertical="center"/>
    </xf>
    <xf numFmtId="0" fontId="105" fillId="0" borderId="55" xfId="0" applyFont="1" applyBorder="1" applyAlignment="1">
      <alignment horizontal="left" vertical="center"/>
    </xf>
    <xf numFmtId="0" fontId="103" fillId="6" borderId="55" xfId="0" applyFont="1" applyFill="1" applyBorder="1" applyAlignment="1">
      <alignment horizontal="left" vertical="center"/>
    </xf>
    <xf numFmtId="2" fontId="4" fillId="0" borderId="19" xfId="0" applyNumberFormat="1" applyFont="1" applyBorder="1" applyAlignment="1">
      <alignment horizontal="center" vertical="center"/>
    </xf>
    <xf numFmtId="1" fontId="30" fillId="0" borderId="18" xfId="1" applyNumberFormat="1" applyFont="1" applyBorder="1" applyAlignment="1">
      <alignment horizontal="center" vertical="center"/>
    </xf>
    <xf numFmtId="1" fontId="107" fillId="10" borderId="19" xfId="0" applyNumberFormat="1" applyFont="1" applyFill="1" applyBorder="1" applyAlignment="1">
      <alignment horizontal="center"/>
    </xf>
    <xf numFmtId="0" fontId="4" fillId="0" borderId="3" xfId="8" applyFont="1" applyBorder="1" applyAlignment="1">
      <alignment horizontal="center" vertical="center"/>
    </xf>
    <xf numFmtId="0" fontId="5" fillId="4" borderId="19" xfId="8" applyFont="1" applyFill="1" applyBorder="1" applyAlignment="1">
      <alignment horizontal="center" vertical="center"/>
    </xf>
    <xf numFmtId="0" fontId="5" fillId="4" borderId="16" xfId="8" applyFont="1" applyFill="1" applyBorder="1" applyAlignment="1">
      <alignment horizontal="center" vertical="center"/>
    </xf>
    <xf numFmtId="2" fontId="5" fillId="4" borderId="5" xfId="8" applyNumberFormat="1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2" fontId="104" fillId="78" borderId="19" xfId="0" applyNumberFormat="1" applyFont="1" applyFill="1" applyBorder="1" applyAlignment="1">
      <alignment horizontal="center" vertical="center"/>
    </xf>
    <xf numFmtId="0" fontId="103" fillId="78" borderId="55" xfId="0" applyFont="1" applyFill="1" applyBorder="1" applyAlignment="1">
      <alignment vertical="center"/>
    </xf>
    <xf numFmtId="0" fontId="5" fillId="78" borderId="7" xfId="8" applyFont="1" applyFill="1" applyBorder="1" applyAlignment="1">
      <alignment horizontal="left" vertical="center" indent="2"/>
    </xf>
    <xf numFmtId="2" fontId="4" fillId="78" borderId="8" xfId="6" applyNumberFormat="1" applyFont="1" applyFill="1" applyBorder="1" applyAlignment="1">
      <alignment horizontal="center" vertical="center"/>
    </xf>
    <xf numFmtId="0" fontId="39" fillId="17" borderId="16" xfId="0" applyFont="1" applyFill="1" applyBorder="1" applyAlignment="1">
      <alignment horizontal="center" vertical="center"/>
    </xf>
    <xf numFmtId="0" fontId="39" fillId="17" borderId="22" xfId="0" applyFont="1" applyFill="1" applyBorder="1" applyAlignment="1">
      <alignment horizontal="center" vertical="center"/>
    </xf>
    <xf numFmtId="2" fontId="108" fillId="79" borderId="19" xfId="141" applyNumberFormat="1" applyFont="1" applyFill="1" applyBorder="1" applyAlignment="1">
      <alignment horizontal="center" vertical="center"/>
    </xf>
    <xf numFmtId="2" fontId="34" fillId="16" borderId="19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7" fillId="18" borderId="0" xfId="0" applyFont="1" applyFill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7" fillId="0" borderId="23" xfId="0" applyFont="1" applyBorder="1" applyAlignment="1">
      <alignment horizontal="left"/>
    </xf>
  </cellXfs>
  <cellStyles count="189">
    <cellStyle name="20% - Énfasis1" xfId="29" builtinId="30" customBuiltin="1"/>
    <cellStyle name="20% - Énfasis1 2" xfId="46" xr:uid="{00000000-0005-0000-0000-000001000000}"/>
    <cellStyle name="20% - Énfasis1 3" xfId="47" xr:uid="{00000000-0005-0000-0000-000002000000}"/>
    <cellStyle name="20% - Énfasis2" xfId="32" builtinId="34" customBuiltin="1"/>
    <cellStyle name="20% - Énfasis2 2" xfId="48" xr:uid="{00000000-0005-0000-0000-000004000000}"/>
    <cellStyle name="20% - Énfasis2 3" xfId="49" xr:uid="{00000000-0005-0000-0000-000005000000}"/>
    <cellStyle name="20% - Énfasis3" xfId="35" builtinId="38" customBuiltin="1"/>
    <cellStyle name="20% - Énfasis3 2" xfId="50" xr:uid="{00000000-0005-0000-0000-000007000000}"/>
    <cellStyle name="20% - Énfasis3 3" xfId="51" xr:uid="{00000000-0005-0000-0000-000008000000}"/>
    <cellStyle name="20% - Énfasis4" xfId="38" builtinId="42" customBuiltin="1"/>
    <cellStyle name="20% - Énfasis4 2" xfId="52" xr:uid="{00000000-0005-0000-0000-00000A000000}"/>
    <cellStyle name="20% - Énfasis4 3" xfId="53" xr:uid="{00000000-0005-0000-0000-00000B000000}"/>
    <cellStyle name="20% - Énfasis5" xfId="41" builtinId="46" customBuiltin="1"/>
    <cellStyle name="20% - Énfasis5 2" xfId="54" xr:uid="{00000000-0005-0000-0000-00000D000000}"/>
    <cellStyle name="20% - Énfasis5 3" xfId="55" xr:uid="{00000000-0005-0000-0000-00000E000000}"/>
    <cellStyle name="20% - Énfasis6" xfId="44" builtinId="50" customBuiltin="1"/>
    <cellStyle name="20% - Énfasis6 2" xfId="56" xr:uid="{00000000-0005-0000-0000-000010000000}"/>
    <cellStyle name="20% - Énfasis6 3" xfId="57" xr:uid="{00000000-0005-0000-0000-000011000000}"/>
    <cellStyle name="40% - Énfasis1" xfId="30" builtinId="31" customBuiltin="1"/>
    <cellStyle name="40% - Énfasis1 2" xfId="58" xr:uid="{00000000-0005-0000-0000-000013000000}"/>
    <cellStyle name="40% - Énfasis1 3" xfId="59" xr:uid="{00000000-0005-0000-0000-000014000000}"/>
    <cellStyle name="40% - Énfasis2" xfId="33" builtinId="35" customBuiltin="1"/>
    <cellStyle name="40% - Énfasis2 2" xfId="60" xr:uid="{00000000-0005-0000-0000-000016000000}"/>
    <cellStyle name="40% - Énfasis2 3" xfId="61" xr:uid="{00000000-0005-0000-0000-000017000000}"/>
    <cellStyle name="40% - Énfasis3" xfId="36" builtinId="39" customBuiltin="1"/>
    <cellStyle name="40% - Énfasis3 2" xfId="62" xr:uid="{00000000-0005-0000-0000-000019000000}"/>
    <cellStyle name="40% - Énfasis3 3" xfId="63" xr:uid="{00000000-0005-0000-0000-00001A000000}"/>
    <cellStyle name="40% - Énfasis4" xfId="39" builtinId="43" customBuiltin="1"/>
    <cellStyle name="40% - Énfasis4 2" xfId="64" xr:uid="{00000000-0005-0000-0000-00001C000000}"/>
    <cellStyle name="40% - Énfasis4 3" xfId="65" xr:uid="{00000000-0005-0000-0000-00001D000000}"/>
    <cellStyle name="40% - Énfasis5" xfId="42" builtinId="47" customBuiltin="1"/>
    <cellStyle name="40% - Énfasis5 2" xfId="66" xr:uid="{00000000-0005-0000-0000-00001F000000}"/>
    <cellStyle name="40% - Énfasis5 3" xfId="67" xr:uid="{00000000-0005-0000-0000-000020000000}"/>
    <cellStyle name="40% - Énfasis6" xfId="45" builtinId="51" customBuiltin="1"/>
    <cellStyle name="40% - Énfasis6 2" xfId="68" xr:uid="{00000000-0005-0000-0000-000022000000}"/>
    <cellStyle name="40% - Énfasis6 3" xfId="69" xr:uid="{00000000-0005-0000-0000-000023000000}"/>
    <cellStyle name="60% - Énfasis1 2" xfId="71" xr:uid="{00000000-0005-0000-0000-000024000000}"/>
    <cellStyle name="60% - Énfasis1 3" xfId="70" xr:uid="{00000000-0005-0000-0000-000025000000}"/>
    <cellStyle name="60% - Énfasis2 2" xfId="73" xr:uid="{00000000-0005-0000-0000-000026000000}"/>
    <cellStyle name="60% - Énfasis2 3" xfId="72" xr:uid="{00000000-0005-0000-0000-000027000000}"/>
    <cellStyle name="60% - Énfasis3 2" xfId="75" xr:uid="{00000000-0005-0000-0000-000028000000}"/>
    <cellStyle name="60% - Énfasis3 3" xfId="74" xr:uid="{00000000-0005-0000-0000-000029000000}"/>
    <cellStyle name="60% - Énfasis4 2" xfId="77" xr:uid="{00000000-0005-0000-0000-00002A000000}"/>
    <cellStyle name="60% - Énfasis4 3" xfId="76" xr:uid="{00000000-0005-0000-0000-00002B000000}"/>
    <cellStyle name="60% - Énfasis5 2" xfId="79" xr:uid="{00000000-0005-0000-0000-00002C000000}"/>
    <cellStyle name="60% - Énfasis5 3" xfId="78" xr:uid="{00000000-0005-0000-0000-00002D000000}"/>
    <cellStyle name="60% - Énfasis6 2" xfId="81" xr:uid="{00000000-0005-0000-0000-00002E000000}"/>
    <cellStyle name="60% - Énfasis6 3" xfId="80" xr:uid="{00000000-0005-0000-0000-00002F000000}"/>
    <cellStyle name="Bueno" xfId="17" builtinId="26" customBuiltin="1"/>
    <cellStyle name="Bueno 2" xfId="82" xr:uid="{00000000-0005-0000-0000-000031000000}"/>
    <cellStyle name="Cálculo" xfId="21" builtinId="22" customBuiltin="1"/>
    <cellStyle name="Cálculo 2" xfId="83" xr:uid="{00000000-0005-0000-0000-000033000000}"/>
    <cellStyle name="Celda de comprobación" xfId="23" builtinId="23" customBuiltin="1"/>
    <cellStyle name="Celda de comprobación 2" xfId="84" xr:uid="{00000000-0005-0000-0000-000035000000}"/>
    <cellStyle name="Celda vinculada" xfId="22" builtinId="24" customBuiltin="1"/>
    <cellStyle name="Celda vinculada 2" xfId="85" xr:uid="{00000000-0005-0000-0000-000037000000}"/>
    <cellStyle name="Comma 2" xfId="86" xr:uid="{00000000-0005-0000-0000-000038000000}"/>
    <cellStyle name="Comma 2 2" xfId="87" xr:uid="{00000000-0005-0000-0000-000039000000}"/>
    <cellStyle name="Comma 2 2 2" xfId="88" xr:uid="{00000000-0005-0000-0000-00003A000000}"/>
    <cellStyle name="Comma 2 3" xfId="89" xr:uid="{00000000-0005-0000-0000-00003B000000}"/>
    <cellStyle name="Comma 3" xfId="3" xr:uid="{00000000-0005-0000-0000-00003C000000}"/>
    <cellStyle name="Encabezado 1" xfId="13" builtinId="16" customBuiltin="1"/>
    <cellStyle name="Encabezado 1 2" xfId="90" xr:uid="{00000000-0005-0000-0000-00003E000000}"/>
    <cellStyle name="Encabezado 4" xfId="16" builtinId="19" customBuiltin="1"/>
    <cellStyle name="Encabezado 4 2" xfId="91" xr:uid="{00000000-0005-0000-0000-000040000000}"/>
    <cellStyle name="Énfasis1" xfId="28" builtinId="29" customBuiltin="1"/>
    <cellStyle name="Énfasis1 2" xfId="92" xr:uid="{00000000-0005-0000-0000-000042000000}"/>
    <cellStyle name="Énfasis1 2 2" xfId="93" xr:uid="{00000000-0005-0000-0000-000043000000}"/>
    <cellStyle name="Énfasis1 3" xfId="94" xr:uid="{00000000-0005-0000-0000-000044000000}"/>
    <cellStyle name="Énfasis2" xfId="31" builtinId="33" customBuiltin="1"/>
    <cellStyle name="Énfasis2 2" xfId="95" xr:uid="{00000000-0005-0000-0000-000046000000}"/>
    <cellStyle name="Énfasis3" xfId="34" builtinId="37" customBuiltin="1"/>
    <cellStyle name="Énfasis3 2" xfId="96" xr:uid="{00000000-0005-0000-0000-000048000000}"/>
    <cellStyle name="Énfasis4" xfId="37" builtinId="41" customBuiltin="1"/>
    <cellStyle name="Énfasis4 2" xfId="97" xr:uid="{00000000-0005-0000-0000-00004A000000}"/>
    <cellStyle name="Énfasis5" xfId="40" builtinId="45" customBuiltin="1"/>
    <cellStyle name="Énfasis5 2" xfId="98" xr:uid="{00000000-0005-0000-0000-00004C000000}"/>
    <cellStyle name="Énfasis6" xfId="43" builtinId="49" customBuiltin="1"/>
    <cellStyle name="Énfasis6 2" xfId="99" xr:uid="{00000000-0005-0000-0000-00004E000000}"/>
    <cellStyle name="Entrada" xfId="19" builtinId="20" customBuiltin="1"/>
    <cellStyle name="Entrada 2" xfId="100" xr:uid="{00000000-0005-0000-0000-000050000000}"/>
    <cellStyle name="Euro" xfId="101" xr:uid="{00000000-0005-0000-0000-000051000000}"/>
    <cellStyle name="F2" xfId="102" xr:uid="{00000000-0005-0000-0000-000052000000}"/>
    <cellStyle name="F3" xfId="103" xr:uid="{00000000-0005-0000-0000-000053000000}"/>
    <cellStyle name="F4" xfId="104" xr:uid="{00000000-0005-0000-0000-000054000000}"/>
    <cellStyle name="F5" xfId="105" xr:uid="{00000000-0005-0000-0000-000055000000}"/>
    <cellStyle name="F6" xfId="106" xr:uid="{00000000-0005-0000-0000-000056000000}"/>
    <cellStyle name="F7" xfId="107" xr:uid="{00000000-0005-0000-0000-000057000000}"/>
    <cellStyle name="F8" xfId="108" xr:uid="{00000000-0005-0000-0000-000058000000}"/>
    <cellStyle name="Hipervínculo 2" xfId="109" xr:uid="{00000000-0005-0000-0000-000059000000}"/>
    <cellStyle name="Incorrecto" xfId="18" builtinId="27" customBuiltin="1"/>
    <cellStyle name="Incorrecto 2" xfId="110" xr:uid="{00000000-0005-0000-0000-00005B000000}"/>
    <cellStyle name="Millares 10" xfId="111" xr:uid="{00000000-0005-0000-0000-00005C000000}"/>
    <cellStyle name="Millares 10 2" xfId="112" xr:uid="{00000000-0005-0000-0000-00005D000000}"/>
    <cellStyle name="Millares 11" xfId="113" xr:uid="{00000000-0005-0000-0000-00005E000000}"/>
    <cellStyle name="Millares 2" xfId="11" xr:uid="{00000000-0005-0000-0000-00005F000000}"/>
    <cellStyle name="Millares 2 2" xfId="115" xr:uid="{00000000-0005-0000-0000-000060000000}"/>
    <cellStyle name="Millares 2 3" xfId="116" xr:uid="{00000000-0005-0000-0000-000061000000}"/>
    <cellStyle name="Millares 2 4" xfId="117" xr:uid="{00000000-0005-0000-0000-000062000000}"/>
    <cellStyle name="Millares 2 5" xfId="114" xr:uid="{00000000-0005-0000-0000-000063000000}"/>
    <cellStyle name="Millares 2 6" xfId="9" xr:uid="{00000000-0005-0000-0000-000064000000}"/>
    <cellStyle name="Millares 3" xfId="118" xr:uid="{00000000-0005-0000-0000-000065000000}"/>
    <cellStyle name="Millares 3 2" xfId="119" xr:uid="{00000000-0005-0000-0000-000066000000}"/>
    <cellStyle name="Millares 3 3" xfId="120" xr:uid="{00000000-0005-0000-0000-000067000000}"/>
    <cellStyle name="Millares 3 3 2" xfId="121" xr:uid="{00000000-0005-0000-0000-000068000000}"/>
    <cellStyle name="Millares 3 4" xfId="122" xr:uid="{00000000-0005-0000-0000-000069000000}"/>
    <cellStyle name="Millares 4" xfId="123" xr:uid="{00000000-0005-0000-0000-00006A000000}"/>
    <cellStyle name="Millares 4 2" xfId="124" xr:uid="{00000000-0005-0000-0000-00006B000000}"/>
    <cellStyle name="Millares 4 2 2" xfId="125" xr:uid="{00000000-0005-0000-0000-00006C000000}"/>
    <cellStyle name="Millares 4 3" xfId="126" xr:uid="{00000000-0005-0000-0000-00006D000000}"/>
    <cellStyle name="Millares 5" xfId="127" xr:uid="{00000000-0005-0000-0000-00006E000000}"/>
    <cellStyle name="Millares 5 2" xfId="128" xr:uid="{00000000-0005-0000-0000-00006F000000}"/>
    <cellStyle name="Millares 5 2 2" xfId="129" xr:uid="{00000000-0005-0000-0000-000070000000}"/>
    <cellStyle name="Millares 5 3" xfId="130" xr:uid="{00000000-0005-0000-0000-000071000000}"/>
    <cellStyle name="Millares 6" xfId="131" xr:uid="{00000000-0005-0000-0000-000072000000}"/>
    <cellStyle name="Millares 7" xfId="132" xr:uid="{00000000-0005-0000-0000-000073000000}"/>
    <cellStyle name="Millares 8" xfId="133" xr:uid="{00000000-0005-0000-0000-000074000000}"/>
    <cellStyle name="Millares 9" xfId="134" xr:uid="{00000000-0005-0000-0000-000075000000}"/>
    <cellStyle name="Millares 9 2" xfId="135" xr:uid="{00000000-0005-0000-0000-000076000000}"/>
    <cellStyle name="Millares 9 2 2" xfId="136" xr:uid="{00000000-0005-0000-0000-000077000000}"/>
    <cellStyle name="Millares 9 3" xfId="137" xr:uid="{00000000-0005-0000-0000-000078000000}"/>
    <cellStyle name="Neutral 2" xfId="139" xr:uid="{00000000-0005-0000-0000-000079000000}"/>
    <cellStyle name="Neutral 3" xfId="138" xr:uid="{00000000-0005-0000-0000-00007A000000}"/>
    <cellStyle name="Normal" xfId="0" builtinId="0"/>
    <cellStyle name="Normal 10" xfId="140" xr:uid="{00000000-0005-0000-0000-00007C000000}"/>
    <cellStyle name="Normal 11" xfId="6" xr:uid="{00000000-0005-0000-0000-00007D000000}"/>
    <cellStyle name="Normal 12" xfId="141" xr:uid="{00000000-0005-0000-0000-00007E000000}"/>
    <cellStyle name="Normal 13" xfId="142" xr:uid="{00000000-0005-0000-0000-00007F000000}"/>
    <cellStyle name="Normal 14" xfId="143" xr:uid="{00000000-0005-0000-0000-000080000000}"/>
    <cellStyle name="Normal 2" xfId="4" xr:uid="{00000000-0005-0000-0000-000081000000}"/>
    <cellStyle name="Normal 2 2" xfId="144" xr:uid="{00000000-0005-0000-0000-000082000000}"/>
    <cellStyle name="Normal 2 3" xfId="10" xr:uid="{00000000-0005-0000-0000-000083000000}"/>
    <cellStyle name="Normal 2 4" xfId="145" xr:uid="{00000000-0005-0000-0000-000084000000}"/>
    <cellStyle name="Normal 3" xfId="146" xr:uid="{00000000-0005-0000-0000-000085000000}"/>
    <cellStyle name="Normal 3 2" xfId="147" xr:uid="{00000000-0005-0000-0000-000086000000}"/>
    <cellStyle name="Normal 3 2 2" xfId="148" xr:uid="{00000000-0005-0000-0000-000087000000}"/>
    <cellStyle name="Normal 3 3" xfId="149" xr:uid="{00000000-0005-0000-0000-000088000000}"/>
    <cellStyle name="Normal 3 4" xfId="150" xr:uid="{00000000-0005-0000-0000-000089000000}"/>
    <cellStyle name="Normal 3 5" xfId="151" xr:uid="{00000000-0005-0000-0000-00008A000000}"/>
    <cellStyle name="Normal 3 6" xfId="152" xr:uid="{00000000-0005-0000-0000-00008B000000}"/>
    <cellStyle name="Normal 4" xfId="153" xr:uid="{00000000-0005-0000-0000-00008C000000}"/>
    <cellStyle name="Normal 4 2" xfId="154" xr:uid="{00000000-0005-0000-0000-00008D000000}"/>
    <cellStyle name="Normal 43" xfId="5" xr:uid="{00000000-0005-0000-0000-00008E000000}"/>
    <cellStyle name="Normal 44" xfId="155" xr:uid="{00000000-0005-0000-0000-00008F000000}"/>
    <cellStyle name="Normal 45" xfId="156" xr:uid="{00000000-0005-0000-0000-000090000000}"/>
    <cellStyle name="Normal 46" xfId="157" xr:uid="{00000000-0005-0000-0000-000091000000}"/>
    <cellStyle name="Normal 5" xfId="158" xr:uid="{00000000-0005-0000-0000-000092000000}"/>
    <cellStyle name="Normal 6" xfId="159" xr:uid="{00000000-0005-0000-0000-000093000000}"/>
    <cellStyle name="Normal 7" xfId="160" xr:uid="{00000000-0005-0000-0000-000094000000}"/>
    <cellStyle name="Normal 8" xfId="1" xr:uid="{00000000-0005-0000-0000-000095000000}"/>
    <cellStyle name="Normal 8 2" xfId="8" xr:uid="{00000000-0005-0000-0000-000096000000}"/>
    <cellStyle name="Normal 9" xfId="161" xr:uid="{00000000-0005-0000-0000-000097000000}"/>
    <cellStyle name="Notas" xfId="25" builtinId="10" customBuiltin="1"/>
    <cellStyle name="Notas 2" xfId="162" xr:uid="{00000000-0005-0000-0000-000099000000}"/>
    <cellStyle name="Output Amounts" xfId="163" xr:uid="{00000000-0005-0000-0000-00009A000000}"/>
    <cellStyle name="Output Column Headings" xfId="164" xr:uid="{00000000-0005-0000-0000-00009B000000}"/>
    <cellStyle name="Output Line Items" xfId="165" xr:uid="{00000000-0005-0000-0000-00009C000000}"/>
    <cellStyle name="Output Report Heading" xfId="166" xr:uid="{00000000-0005-0000-0000-00009D000000}"/>
    <cellStyle name="Output Report Title" xfId="167" xr:uid="{00000000-0005-0000-0000-00009E000000}"/>
    <cellStyle name="Percent 2" xfId="2" xr:uid="{00000000-0005-0000-0000-00009F000000}"/>
    <cellStyle name="Porcentaje" xfId="12" builtinId="5"/>
    <cellStyle name="Porcentaje 2" xfId="168" xr:uid="{00000000-0005-0000-0000-0000A1000000}"/>
    <cellStyle name="Porcentaje 2 2" xfId="169" xr:uid="{00000000-0005-0000-0000-0000A2000000}"/>
    <cellStyle name="Porcentaje 3" xfId="7" xr:uid="{00000000-0005-0000-0000-0000A3000000}"/>
    <cellStyle name="Porcentaje 3 2" xfId="171" xr:uid="{00000000-0005-0000-0000-0000A4000000}"/>
    <cellStyle name="Porcentaje 3 3" xfId="170" xr:uid="{00000000-0005-0000-0000-0000A5000000}"/>
    <cellStyle name="Porcentaje 4" xfId="172" xr:uid="{00000000-0005-0000-0000-0000A6000000}"/>
    <cellStyle name="Porcentaje 5" xfId="173" xr:uid="{00000000-0005-0000-0000-0000A7000000}"/>
    <cellStyle name="Porcentaje 6" xfId="174" xr:uid="{00000000-0005-0000-0000-0000A8000000}"/>
    <cellStyle name="Porcentaje 7" xfId="175" xr:uid="{00000000-0005-0000-0000-0000A9000000}"/>
    <cellStyle name="Porcentaje 8" xfId="176" xr:uid="{00000000-0005-0000-0000-0000AA000000}"/>
    <cellStyle name="Porcentaje 9" xfId="177" xr:uid="{00000000-0005-0000-0000-0000AB000000}"/>
    <cellStyle name="Porcentual 2" xfId="178" xr:uid="{00000000-0005-0000-0000-0000AC000000}"/>
    <cellStyle name="Porcentual 3" xfId="179" xr:uid="{00000000-0005-0000-0000-0000AD000000}"/>
    <cellStyle name="Porcentual 4" xfId="180" xr:uid="{00000000-0005-0000-0000-0000AE000000}"/>
    <cellStyle name="Salida" xfId="20" builtinId="21" customBuiltin="1"/>
    <cellStyle name="Salida 2" xfId="181" xr:uid="{00000000-0005-0000-0000-0000B0000000}"/>
    <cellStyle name="Texto de advertencia" xfId="24" builtinId="11" customBuiltin="1"/>
    <cellStyle name="Texto de advertencia 2" xfId="182" xr:uid="{00000000-0005-0000-0000-0000B2000000}"/>
    <cellStyle name="Texto explicativo" xfId="26" builtinId="53" customBuiltin="1"/>
    <cellStyle name="Texto explicativo 2" xfId="183" xr:uid="{00000000-0005-0000-0000-0000B4000000}"/>
    <cellStyle name="Título 2" xfId="14" builtinId="17" customBuiltin="1"/>
    <cellStyle name="Título 2 2" xfId="184" xr:uid="{00000000-0005-0000-0000-0000B6000000}"/>
    <cellStyle name="Título 3" xfId="15" builtinId="18" customBuiltin="1"/>
    <cellStyle name="Título 3 2" xfId="185" xr:uid="{00000000-0005-0000-0000-0000B8000000}"/>
    <cellStyle name="Título 4" xfId="186" xr:uid="{00000000-0005-0000-0000-0000B9000000}"/>
    <cellStyle name="Título 5" xfId="187" xr:uid="{00000000-0005-0000-0000-0000BA000000}"/>
    <cellStyle name="Total" xfId="27" builtinId="25" customBuiltin="1"/>
    <cellStyle name="Total 2" xfId="188" xr:uid="{00000000-0005-0000-0000-0000BC000000}"/>
  </cellStyles>
  <dxfs count="11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/>
        <color rgb="FFC00000"/>
      </font>
      <fill>
        <patternFill>
          <bgColor rgb="FFFFC000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/>
        <color rgb="FFC00000"/>
      </font>
      <fill>
        <patternFill>
          <bgColor rgb="FFFFC000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/>
        <color rgb="FFC00000"/>
      </font>
      <fill>
        <patternFill>
          <bgColor rgb="FFFFC000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/>
        <color rgb="FFC00000"/>
      </font>
      <fill>
        <patternFill>
          <bgColor rgb="FFFFC000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>
          <bgColor rgb="FFFFC000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>
          <bgColor rgb="FFFFC000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>
          <bgColor rgb="FFFFC000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ill>
        <patternFill>
          <bgColor rgb="FFFFC000"/>
        </patternFill>
      </fill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omeda\Planeamiento\ETESA\Pronosticos%20de%20Demanda\Pronosticos%20de%20Demanda%202007%20MRN\PIB-2006-EstimadoMR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iego%20Tarifario%20(2009-2013)%20Final%20entragado%20a%20ASEP%20-%2012%20agosto\2.%20Cargos%20por%20Conexi&#243;n\Cargos%20por%20Conexi&#243;n%202009-2013%20ASEP%20agost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omeda\planeamiento\Documents%20and%20Settings\mrivera\Mis%20documentos\TARIFAS%20DE%20TRANSMISION\R&#233;gimen%202005-2009\IMP\IMP%202005-09%20(FINAL%20post%20consulta%20p&#250;blica)+MR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perez\Mis%20documentos\ACTUALIZACION%20A&#209;O%202%20%202009-2013\IMP%202009%20-%202013\IMP%20RESOLUCION%202820%20FECHA%20DE%20PROYECT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orge%20Abril%2023\pliego%20tarifario\Nueva%20entrega\Pliego%20Trifario%202021%20-2025%20ref.%2018267\Cargos%20CUSPT\CUSPTi_AT2\CUSPT_Total_lin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medina\Desktop\pedidos\pliego%20tarifario\A&#241;o%20tarifario%202021%202025%20Jorge%20MARzo%202023\Cargos%20CUSTP\CUSPTi_AT1\1.%20DatosFijo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vega\Desktop\2-PLIEGO%20TARIFARIO%202021-2025\1.%20CARGOS%20CUSPT\A&#209;O%201\1.%20DatosFij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medina\Desktop\calculo%20de%20tarifas\JUNIO\1.%20CARGOS%20CUSPT%20REALES%202021-2022\resumen%20DMNC%20DR%20-%20AT1%202021-202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medina\Desktop\calculo%20de%20tarifas\JUNIO\1.%20CARGOS%20CUSPT%20REALES%202021-2022\2.%20DatosFijos_actualizado%20desde%20el%20mes%20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medina\Desktop\Entregable\Cargos%20CUSPT\calculo%20a&#241;o%202\1.%20DatosFij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medina\Desktop\Entregable\Cargos%20CUSPT\calculo%20a&#241;o%203\1.%20DatosFij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IB-2009-Estimado%20CC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&#241;o%20tarifario%202021%202025%20Jorge%20MARzo%202023\re%20calculo%20para%20cargos%20a&#241;o%20tarifario\calculo%20a&#241;o%202\1.%20DatosFij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orge%20Abril%2023\pliego%20tarifario\Nueva%20entrega\Pliego%20Trifario%202021%20-2025%20ref.%2018267\Cargos%20CUSPT\CUSPTi_AT4\1.%20DatosFij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medina\Desktop\pedidos\pliego%20tarifario\A&#241;o%20tarifario%202021%202025%20Jorge%20MARzo%202023\Cargos%20CUSTP\CUSPTi_AT1\2.%20DatosFijos_actualizad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orge%20Abril%2023\pliego%20tarifario\Nueva%20entrega\Pliego%20Trifario%202021%20-2025%20ref.%2018267\Cargos%20CUSPT\CUSPTi_AT1\CUSPT_Total_link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orge%20Abril%2023\pliego%20tarifario\Nueva%20entrega\Pliego%20Trifario%202021%20-2025%20ref.%2018267\Cargos%20CUSPT\CUSPTi_AT3\CUSPT_Total_link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orge%20Abril%2023\pliego%20tarifario\Nueva%20entrega\Pliego%20Trifario%202021%20-2025%20ref.%2018267\Cargos%20CUSPT\CUSPTi_AT4\CUSPT_Total_lin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omeda\Planeamiento\ETESA\Gerencia%20de%20Planeamiento%20%20de%20Inversiones\Pronosticos%20de%20Demanda\Pronosticos%20de%20Demanda%202014-2028\Proyecciones%20de%20PIB\PIB-2014-Estimado%20CC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omeda\Planeamiento\ETESA\Gerencia%20de%20Planeamiento%20%20de%20Inversiones\Pronosticos%20de%20Demanda\Pronosticos%20de%20Demanda%202014-2028\Proyecciones%20de%20PIB\PIB-2014-Estimado%20CCB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vega\AppData\Local\Microsoft\Windows\INetCache\Content.Outlook\JJOZ5C2F\IMP%20ETESA%202017_2021%20Finalp(Original)%20(00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rivera\Mis%20documentos\TARIFAS%20DE%20TRANSMISION\R&#233;gimen%202005-2009\IMP\IMP%202005-09%20(FINAL%20post%20consulta%20p&#250;blica)+MR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rivera\Mis%20documentos\TARIFAS%20DE%20TRANSMISION\R&#233;gimen%202005-2009\IMP\IMP%202005-09%20(FINAL%20post%20consulta%20p&#250;blica)+MR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rivera\Mis%20documentos\TARIFAS%20DE%20TRANSMISION\R&#233;gimen%202005-2009\IMP\IMP%202005-09%20(FINAL%20post%20consulta%20p&#250;blica)+MR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lejandro\Revicoes%20tarif&#225;rias\PA\M0755-03Panam&#225;Transmisi&#243;n2003\Informes\Fase%20IVIMP\Modelo%20Tarifas%20Transmisi&#243;n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ustria-Algunos indicadores"/>
      <sheetName val="PIB 2006, tres metodologías"/>
      <sheetName val="Verificación de Estructura %"/>
      <sheetName val="Evalua Estimado 2005"/>
      <sheetName val="2001-2005-Contralorí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CX cxj  "/>
      <sheetName val=" VNR2007"/>
      <sheetName val="SALIDAS Y TRANSFORMACION"/>
      <sheetName val="N de Instalaciones"/>
      <sheetName val="IMP"/>
      <sheetName val="IPCT"/>
      <sheetName val="IPCT vnr"/>
      <sheetName val="FA"/>
      <sheetName val="CX cxj  expansión condicion"/>
      <sheetName val="VERIFICACIÓN DE INGRESOS"/>
      <sheetName val="Parámetros de eficiencia"/>
      <sheetName val="S-E Charco Azul trafo"/>
      <sheetName val="S-E CHORRERA 230"/>
      <sheetName val="S-E CHORRERA trafo"/>
      <sheetName val="S-E CHORRERA 34"/>
      <sheetName val="S-E Charco azul 115"/>
      <sheetName val="S-E LL SANCHEZ 115"/>
      <sheetName val="S-E LL SANCHEZ trafo"/>
      <sheetName val="S-E PROGRESO 115"/>
      <sheetName val="S-E PROGRESO 34"/>
      <sheetName val="S-E MATA DE NANCE 34"/>
      <sheetName val="S-E LL SANCHEZ 34"/>
      <sheetName val="TEXTO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C14">
            <v>0.1071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 Base capital completa"/>
      <sheetName val="IMP O&amp;M promedio anterior"/>
      <sheetName val="IMP tasa 12.24%"/>
      <sheetName val="Graficas"/>
      <sheetName val="IMP"/>
      <sheetName val="Hidrometeorología"/>
      <sheetName val="Activos"/>
      <sheetName val="Hoja1"/>
      <sheetName val="Bienes 2004"/>
      <sheetName val="VNR"/>
      <sheetName val="VNR Líneas"/>
      <sheetName val="Compara Valor libros-vs-VNR"/>
      <sheetName val="VNR SE"/>
      <sheetName val="Inversión-Resumen"/>
      <sheetName val="Inversiones"/>
      <sheetName val="Retiros"/>
      <sheetName val="CND"/>
      <sheetName val="Informática"/>
      <sheetName val="Hoja2"/>
      <sheetName val="RRT"/>
      <sheetName val="#¡REF"/>
      <sheetName val="IMP-Ajuste-Fechas"/>
      <sheetName val="IMP-APROBADO"/>
    </sheetNames>
    <sheetDataSet>
      <sheetData sheetId="0"/>
      <sheetData sheetId="1">
        <row r="14">
          <cell r="D14">
            <v>2000.9</v>
          </cell>
        </row>
      </sheetData>
      <sheetData sheetId="2"/>
      <sheetData sheetId="3"/>
      <sheetData sheetId="4">
        <row r="14">
          <cell r="D14">
            <v>2000.9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"/>
      <sheetName val="ART. 177"/>
      <sheetName val="EVOLUCIÓN BIENES"/>
      <sheetName val="BIENES 2008"/>
      <sheetName val="ACTIVOS"/>
      <sheetName val="TASA DE DEPRECIACIÓN"/>
      <sheetName val="PLAN EXPANSIÓN"/>
      <sheetName val="PLAN EXPANSIÓN_RES"/>
      <sheetName val="VNR LÍNEAS"/>
      <sheetName val="VNR SE"/>
      <sheetName val="VNR_ RES"/>
      <sheetName val="CND"/>
      <sheetName val="CND SOLICITADO"/>
      <sheetName val="CND AJUSTADO"/>
      <sheetName val="CND AJUSTADO -RES"/>
      <sheetName val="HID"/>
      <sheetName val="HID2"/>
    </sheetNames>
    <sheetDataSet>
      <sheetData sheetId="0">
        <row r="10">
          <cell r="D10">
            <v>0.1071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M01"/>
      <sheetName val="M02"/>
      <sheetName val="M03"/>
      <sheetName val="M04"/>
      <sheetName val="M05"/>
      <sheetName val="M06"/>
      <sheetName val="M07"/>
      <sheetName val="M08"/>
      <sheetName val="M09"/>
      <sheetName val="M10"/>
      <sheetName val="M11"/>
      <sheetName val="M12"/>
    </sheetNames>
    <sheetDataSet>
      <sheetData sheetId="0"/>
      <sheetData sheetId="1">
        <row r="2">
          <cell r="C2" t="str">
            <v>Mes 01:  Jul</v>
          </cell>
        </row>
        <row r="3">
          <cell r="F3" t="str">
            <v>Te (Hs/Mes) =</v>
          </cell>
        </row>
        <row r="4">
          <cell r="C4">
            <v>31</v>
          </cell>
          <cell r="F4" t="str">
            <v>Te Hab Max =</v>
          </cell>
        </row>
        <row r="5">
          <cell r="C5">
            <v>21</v>
          </cell>
          <cell r="F5" t="str">
            <v>Te Hab Med =</v>
          </cell>
        </row>
        <row r="6">
          <cell r="C6">
            <v>5</v>
          </cell>
          <cell r="F6" t="str">
            <v>Te Hab Min =</v>
          </cell>
        </row>
        <row r="7">
          <cell r="C7">
            <v>5</v>
          </cell>
          <cell r="F7" t="str">
            <v>Te Sem Max =</v>
          </cell>
        </row>
        <row r="8">
          <cell r="F8" t="str">
            <v>Te Sem Med =</v>
          </cell>
        </row>
        <row r="9">
          <cell r="C9">
            <v>24</v>
          </cell>
          <cell r="F9" t="str">
            <v>Te Sem Min =</v>
          </cell>
        </row>
        <row r="10">
          <cell r="C10">
            <v>5.5</v>
          </cell>
          <cell r="F10" t="str">
            <v>Te Fer Max =</v>
          </cell>
        </row>
        <row r="11">
          <cell r="C11">
            <v>11.5</v>
          </cell>
          <cell r="F11" t="str">
            <v>Te Fer Med =</v>
          </cell>
        </row>
        <row r="12">
          <cell r="C12">
            <v>7</v>
          </cell>
          <cell r="F12" t="str">
            <v>Te Fer Min =</v>
          </cell>
        </row>
        <row r="13">
          <cell r="H13">
            <v>744</v>
          </cell>
          <cell r="I13">
            <v>8.493150684931508E-2</v>
          </cell>
        </row>
        <row r="15">
          <cell r="C15">
            <v>2</v>
          </cell>
          <cell r="F15">
            <v>5</v>
          </cell>
          <cell r="G15">
            <v>6</v>
          </cell>
        </row>
        <row r="16">
          <cell r="C16" t="str">
            <v>Fortuna Guasquitas</v>
          </cell>
          <cell r="F16" t="str">
            <v>Ll.Sánchez El Higo</v>
          </cell>
          <cell r="G16" t="str">
            <v>Chorrera Pan-Am</v>
          </cell>
        </row>
        <row r="18">
          <cell r="C18">
            <v>537.79999999999995</v>
          </cell>
          <cell r="F18">
            <v>206.42</v>
          </cell>
          <cell r="G18">
            <v>147</v>
          </cell>
        </row>
        <row r="19">
          <cell r="C19">
            <v>0</v>
          </cell>
          <cell r="F19">
            <v>416.15</v>
          </cell>
          <cell r="G19">
            <v>166.92000000000002</v>
          </cell>
        </row>
        <row r="21">
          <cell r="B21">
            <v>191.71667120161291</v>
          </cell>
          <cell r="C21">
            <v>322.20084971680097</v>
          </cell>
          <cell r="D21">
            <v>113.82777307352148</v>
          </cell>
          <cell r="E21">
            <v>272.69238083185479</v>
          </cell>
          <cell r="F21">
            <v>78.773185602016113</v>
          </cell>
          <cell r="G21">
            <v>5.5694931706989239</v>
          </cell>
          <cell r="H21">
            <v>19.799281714247311</v>
          </cell>
          <cell r="I21">
            <v>99.89688509663975</v>
          </cell>
          <cell r="J21">
            <v>0.18212236948924729</v>
          </cell>
          <cell r="K21">
            <v>176.02374794986565</v>
          </cell>
        </row>
        <row r="22">
          <cell r="B22">
            <v>10.265297091397851</v>
          </cell>
          <cell r="C22">
            <v>0</v>
          </cell>
          <cell r="D22">
            <v>4.598186962365592E-2</v>
          </cell>
          <cell r="E22">
            <v>49.420952212365584</v>
          </cell>
          <cell r="F22">
            <v>165.61339966572584</v>
          </cell>
          <cell r="G22">
            <v>120.25577086155916</v>
          </cell>
          <cell r="H22">
            <v>599.28733950900528</v>
          </cell>
          <cell r="I22">
            <v>0.83500376209677418</v>
          </cell>
          <cell r="J22">
            <v>74.312895274193565</v>
          </cell>
          <cell r="K22">
            <v>21.82082952849462</v>
          </cell>
        </row>
        <row r="24">
          <cell r="B24">
            <v>142.63720337399999</v>
          </cell>
          <cell r="C24">
            <v>239.71743218929993</v>
          </cell>
          <cell r="D24">
            <v>84.687863166699984</v>
          </cell>
          <cell r="E24">
            <v>202.88313133889994</v>
          </cell>
          <cell r="F24">
            <v>58.607250087899992</v>
          </cell>
          <cell r="G24">
            <v>4.143702918999999</v>
          </cell>
          <cell r="H24">
            <v>14.7306655954</v>
          </cell>
          <cell r="I24">
            <v>74.323282511899976</v>
          </cell>
          <cell r="J24">
            <v>0.13549904289999998</v>
          </cell>
          <cell r="K24">
            <v>130.96166847470005</v>
          </cell>
        </row>
        <row r="25">
          <cell r="B25">
            <v>7.6373810360000016</v>
          </cell>
          <cell r="C25">
            <v>0</v>
          </cell>
          <cell r="D25">
            <v>3.4210511000000006E-2</v>
          </cell>
          <cell r="E25">
            <v>36.769188445999994</v>
          </cell>
          <cell r="F25">
            <v>123.21636935130002</v>
          </cell>
          <cell r="G25">
            <v>89.470293521000016</v>
          </cell>
          <cell r="H25">
            <v>445.86978059469988</v>
          </cell>
          <cell r="I25">
            <v>0.62124279900000001</v>
          </cell>
          <cell r="J25">
            <v>55.28879408400001</v>
          </cell>
          <cell r="K25">
            <v>16.2346971692</v>
          </cell>
        </row>
        <row r="27">
          <cell r="B27">
            <v>1.3827026737743979</v>
          </cell>
          <cell r="C27">
            <v>2.6264977638984184</v>
          </cell>
          <cell r="D27">
            <v>2.1348310976483749</v>
          </cell>
          <cell r="E27">
            <v>2.0541128265448534</v>
          </cell>
          <cell r="F27">
            <v>1.0270463580951501</v>
          </cell>
          <cell r="G27">
            <v>0.33982806925791792</v>
          </cell>
          <cell r="H27">
            <v>3.0972340578004628E-2</v>
          </cell>
          <cell r="I27">
            <v>0.64490458183509058</v>
          </cell>
          <cell r="J27">
            <v>0</v>
          </cell>
          <cell r="K27">
            <v>2.8064117950964684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0.34501114697552876</v>
          </cell>
          <cell r="F28">
            <v>0.78630873385176348</v>
          </cell>
          <cell r="G28">
            <v>1.1421525766457625</v>
          </cell>
          <cell r="H28">
            <v>1.1825837018304064</v>
          </cell>
          <cell r="I28">
            <v>0</v>
          </cell>
          <cell r="J28">
            <v>1.6974746311020932</v>
          </cell>
          <cell r="K28">
            <v>0.1049846294943436</v>
          </cell>
        </row>
        <row r="30">
          <cell r="B30">
            <v>0.51951965391849586</v>
          </cell>
        </row>
        <row r="31">
          <cell r="B31">
            <v>0.36687321059020261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0.722343508237</v>
          </cell>
          <cell r="G33">
            <v>1.8275075243284067</v>
          </cell>
          <cell r="H33">
            <v>1.7496645086196574</v>
          </cell>
          <cell r="I33">
            <v>0</v>
          </cell>
          <cell r="J33">
            <v>2.5072056666900733</v>
          </cell>
          <cell r="K33">
            <v>0</v>
          </cell>
        </row>
        <row r="34">
          <cell r="I34">
            <v>1.258807510623815</v>
          </cell>
        </row>
        <row r="37">
          <cell r="C37">
            <v>2</v>
          </cell>
          <cell r="F37">
            <v>5</v>
          </cell>
          <cell r="G37">
            <v>6</v>
          </cell>
        </row>
        <row r="38">
          <cell r="B38">
            <v>194.98835878012861</v>
          </cell>
          <cell r="C38">
            <v>621.60235482777466</v>
          </cell>
          <cell r="D38">
            <v>182.07979104238564</v>
          </cell>
          <cell r="E38">
            <v>412.9243604250027</v>
          </cell>
          <cell r="F38">
            <v>66.033584988432125</v>
          </cell>
          <cell r="G38">
            <v>1.4390635676812265</v>
          </cell>
          <cell r="H38">
            <v>5.903390168182602</v>
          </cell>
          <cell r="I38">
            <v>64.326102665361717</v>
          </cell>
          <cell r="J38">
            <v>0</v>
          </cell>
          <cell r="K38">
            <v>349.82888382578352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12.600585852451832</v>
          </cell>
          <cell r="F39">
            <v>98.487934311161212</v>
          </cell>
          <cell r="G39">
            <v>101.6598763063802</v>
          </cell>
          <cell r="H39">
            <v>510.88631218934751</v>
          </cell>
          <cell r="I39">
            <v>0</v>
          </cell>
          <cell r="J39">
            <v>90.724362870186226</v>
          </cell>
          <cell r="K39">
            <v>1.5689481140256967</v>
          </cell>
        </row>
        <row r="41">
          <cell r="B41">
            <v>110.55097694772476</v>
          </cell>
          <cell r="C41">
            <v>279.39766987736704</v>
          </cell>
          <cell r="D41">
            <v>80.665816663924844</v>
          </cell>
          <cell r="E41">
            <v>173.11433907872117</v>
          </cell>
          <cell r="F41">
            <v>107.2392469618559</v>
          </cell>
          <cell r="G41">
            <v>76.369389126018902</v>
          </cell>
          <cell r="H41">
            <v>82.775066458833948</v>
          </cell>
          <cell r="I41">
            <v>135.07511001880891</v>
          </cell>
          <cell r="J41">
            <v>402.34199597717912</v>
          </cell>
          <cell r="K41">
            <v>131.00727112862708</v>
          </cell>
        </row>
        <row r="42">
          <cell r="B42">
            <v>5.5104356230648435</v>
          </cell>
          <cell r="C42">
            <v>0</v>
          </cell>
          <cell r="D42">
            <v>3.668732105902027E-2</v>
          </cell>
          <cell r="E42">
            <v>41.229211406126979</v>
          </cell>
          <cell r="F42">
            <v>152.67428658711285</v>
          </cell>
          <cell r="G42">
            <v>61.238476311716632</v>
          </cell>
          <cell r="H42">
            <v>357.99369536094247</v>
          </cell>
          <cell r="I42">
            <v>0.45492278113185125</v>
          </cell>
          <cell r="J42">
            <v>39.592956886894676</v>
          </cell>
          <cell r="K42">
            <v>15.768210591166909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90.968636468975433</v>
          </cell>
          <cell r="G44">
            <v>162.87170922180988</v>
          </cell>
          <cell r="H44">
            <v>756.00060069378651</v>
          </cell>
          <cell r="I44">
            <v>0</v>
          </cell>
          <cell r="J44">
            <v>134.42681183736326</v>
          </cell>
          <cell r="K44">
            <v>0</v>
          </cell>
        </row>
        <row r="45">
          <cell r="B45">
            <v>18.9072888095697</v>
          </cell>
          <cell r="C45">
            <v>0</v>
          </cell>
          <cell r="D45">
            <v>0.1258807510623815</v>
          </cell>
          <cell r="E45">
            <v>141.46478804390426</v>
          </cell>
          <cell r="F45">
            <v>523.85274554610055</v>
          </cell>
          <cell r="G45">
            <v>210.12014967332721</v>
          </cell>
          <cell r="H45">
            <v>1228.3403079536895</v>
          </cell>
          <cell r="I45">
            <v>1.5609213131735307</v>
          </cell>
          <cell r="J45">
            <v>135.8505065465221</v>
          </cell>
          <cell r="K45">
            <v>54.103546806611568</v>
          </cell>
        </row>
        <row r="46">
          <cell r="G46">
            <v>0</v>
          </cell>
        </row>
        <row r="51">
          <cell r="C51">
            <v>2.5930627954370378</v>
          </cell>
          <cell r="F51">
            <v>1.1267135873018101</v>
          </cell>
          <cell r="G51">
            <v>0.34728927141053734</v>
          </cell>
        </row>
        <row r="52">
          <cell r="C52">
            <v>0</v>
          </cell>
          <cell r="F52">
            <v>1.5375925437307794</v>
          </cell>
          <cell r="G52">
            <v>2.9566415300303062</v>
          </cell>
        </row>
      </sheetData>
      <sheetData sheetId="2">
        <row r="13">
          <cell r="H13">
            <v>744</v>
          </cell>
          <cell r="I13">
            <v>8.4931506849315067E-2</v>
          </cell>
        </row>
        <row r="21">
          <cell r="B21">
            <v>172.5112418556451</v>
          </cell>
          <cell r="C21">
            <v>323.13684933279586</v>
          </cell>
          <cell r="D21">
            <v>101.62240474422042</v>
          </cell>
          <cell r="E21">
            <v>271.03191615591396</v>
          </cell>
          <cell r="F21">
            <v>86.339197094758077</v>
          </cell>
          <cell r="G21">
            <v>20.025042017473123</v>
          </cell>
          <cell r="H21">
            <v>23.3804773655914</v>
          </cell>
          <cell r="I21">
            <v>138.35194154287632</v>
          </cell>
          <cell r="J21">
            <v>3.6764734177419358</v>
          </cell>
          <cell r="K21">
            <v>178.56158261129033</v>
          </cell>
        </row>
        <row r="22">
          <cell r="B22">
            <v>73.256725927822586</v>
          </cell>
          <cell r="C22">
            <v>0</v>
          </cell>
          <cell r="D22">
            <v>4.5775567204301072E-2</v>
          </cell>
          <cell r="E22">
            <v>54.39955204032259</v>
          </cell>
          <cell r="F22">
            <v>152.24033368118288</v>
          </cell>
          <cell r="G22">
            <v>134.74601787446235</v>
          </cell>
          <cell r="H22">
            <v>612.26183510080637</v>
          </cell>
          <cell r="I22">
            <v>0.89974566801075273</v>
          </cell>
          <cell r="J22">
            <v>78.352895333333322</v>
          </cell>
          <cell r="K22">
            <v>23.149246223118279</v>
          </cell>
        </row>
        <row r="24">
          <cell r="B24">
            <v>128.34836394059997</v>
          </cell>
          <cell r="C24">
            <v>240.4138159036001</v>
          </cell>
          <cell r="D24">
            <v>75.60706912969998</v>
          </cell>
          <cell r="E24">
            <v>201.64774561999997</v>
          </cell>
          <cell r="F24">
            <v>64.236362638500012</v>
          </cell>
          <cell r="G24">
            <v>14.898631261000004</v>
          </cell>
          <cell r="H24">
            <v>17.395075160000001</v>
          </cell>
          <cell r="I24">
            <v>102.93384450789998</v>
          </cell>
          <cell r="J24">
            <v>2.7352962228000002</v>
          </cell>
          <cell r="K24">
            <v>132.84981746280002</v>
          </cell>
        </row>
        <row r="25">
          <cell r="B25">
            <v>54.503004090300003</v>
          </cell>
          <cell r="C25">
            <v>0</v>
          </cell>
          <cell r="D25">
            <v>3.4057021999999999E-2</v>
          </cell>
          <cell r="E25">
            <v>40.473266718000005</v>
          </cell>
          <cell r="F25">
            <v>113.26680825880005</v>
          </cell>
          <cell r="G25">
            <v>100.25103729859998</v>
          </cell>
          <cell r="H25">
            <v>455.52280531499997</v>
          </cell>
          <cell r="I25">
            <v>0.66941077700000007</v>
          </cell>
          <cell r="J25">
            <v>58.294554127999994</v>
          </cell>
          <cell r="K25">
            <v>17.223039189999998</v>
          </cell>
        </row>
        <row r="27">
          <cell r="B27">
            <v>1.571947048739436</v>
          </cell>
          <cell r="C27">
            <v>2.784239010414121</v>
          </cell>
          <cell r="D27">
            <v>2.4868816595686432</v>
          </cell>
          <cell r="E27">
            <v>2.0450822687742307</v>
          </cell>
          <cell r="F27">
            <v>0.7181286534590583</v>
          </cell>
          <cell r="G27">
            <v>0.33857861372393389</v>
          </cell>
          <cell r="H27">
            <v>0</v>
          </cell>
          <cell r="I27">
            <v>1.313635282622285</v>
          </cell>
          <cell r="J27">
            <v>2.2128356725792941E-2</v>
          </cell>
          <cell r="K27">
            <v>3.4867506280439735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0.28455014188691607</v>
          </cell>
          <cell r="F28">
            <v>0.76135219308962976</v>
          </cell>
          <cell r="G28">
            <v>1.1779020962639544</v>
          </cell>
          <cell r="H28">
            <v>1.3045121369784862</v>
          </cell>
          <cell r="I28">
            <v>0</v>
          </cell>
          <cell r="J28">
            <v>1.7386894074583128</v>
          </cell>
          <cell r="K28">
            <v>5.2460483475334239E-2</v>
          </cell>
        </row>
        <row r="30">
          <cell r="B30">
            <v>0.47797172980698033</v>
          </cell>
        </row>
        <row r="31">
          <cell r="B31">
            <v>0.33628783827859887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0.67306526161554425</v>
          </cell>
          <cell r="G33">
            <v>1.7891075940971641</v>
          </cell>
          <cell r="H33">
            <v>1.8753752569302011</v>
          </cell>
          <cell r="I33">
            <v>0</v>
          </cell>
          <cell r="J33">
            <v>2.5791547213170811</v>
          </cell>
          <cell r="K33">
            <v>0</v>
          </cell>
        </row>
        <row r="34">
          <cell r="I34">
            <v>1.2450864842479601</v>
          </cell>
        </row>
        <row r="38">
          <cell r="B38">
            <v>196.07406018903842</v>
          </cell>
          <cell r="C38">
            <v>648.29333128997973</v>
          </cell>
          <cell r="D38">
            <v>186.94964033375066</v>
          </cell>
          <cell r="E38">
            <v>403.66116604520977</v>
          </cell>
          <cell r="F38">
            <v>58.480394276288749</v>
          </cell>
          <cell r="G38">
            <v>4.8843715218270232</v>
          </cell>
          <cell r="H38">
            <v>0</v>
          </cell>
          <cell r="I38">
            <v>130.24178813959716</v>
          </cell>
          <cell r="J38">
            <v>0.97896831006981122</v>
          </cell>
          <cell r="K38">
            <v>432.59793037769339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11.320605367423116</v>
          </cell>
          <cell r="F39">
            <v>86.638545042459498</v>
          </cell>
          <cell r="G39">
            <v>116.67020474265605</v>
          </cell>
          <cell r="H39">
            <v>572.31909452278035</v>
          </cell>
          <cell r="I39">
            <v>0</v>
          </cell>
          <cell r="J39">
            <v>98.126841463636012</v>
          </cell>
          <cell r="K39">
            <v>1.0598136090852059</v>
          </cell>
        </row>
        <row r="41">
          <cell r="B41">
            <v>101.70760438562732</v>
          </cell>
          <cell r="C41">
            <v>257.05319629019397</v>
          </cell>
          <cell r="D41">
            <v>74.214670487129808</v>
          </cell>
          <cell r="E41">
            <v>159.26973980628199</v>
          </cell>
          <cell r="F41">
            <v>103.70770959108225</v>
          </cell>
          <cell r="G41">
            <v>70.261844281626111</v>
          </cell>
          <cell r="H41">
            <v>50.5694090135785</v>
          </cell>
          <cell r="I41">
            <v>124.27264974981486</v>
          </cell>
          <cell r="J41">
            <v>353.91416733557855</v>
          </cell>
          <cell r="K41">
            <v>120.53013110542621</v>
          </cell>
        </row>
        <row r="42">
          <cell r="B42">
            <v>5.0106887903511241</v>
          </cell>
          <cell r="C42">
            <v>0</v>
          </cell>
          <cell r="D42">
            <v>3.0265905445073901E-2</v>
          </cell>
          <cell r="E42">
            <v>34.899951856552995</v>
          </cell>
          <cell r="F42">
            <v>129.07063520970902</v>
          </cell>
          <cell r="G42">
            <v>55.857409938075278</v>
          </cell>
          <cell r="H42">
            <v>326.54494637366838</v>
          </cell>
          <cell r="I42">
            <v>0.46071433844168058</v>
          </cell>
          <cell r="J42">
            <v>37.516271238360488</v>
          </cell>
          <cell r="K42">
            <v>14.900914114124715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77.079036085780814</v>
          </cell>
          <cell r="G44">
            <v>177.34014860285225</v>
          </cell>
          <cell r="H44">
            <v>822.70671381207899</v>
          </cell>
          <cell r="I44">
            <v>0</v>
          </cell>
          <cell r="J44">
            <v>144.11218179366261</v>
          </cell>
          <cell r="K44">
            <v>0</v>
          </cell>
        </row>
        <row r="45">
          <cell r="B45">
            <v>18.551788615294601</v>
          </cell>
          <cell r="C45">
            <v>0</v>
          </cell>
          <cell r="D45">
            <v>0.1120577835823164</v>
          </cell>
          <cell r="E45">
            <v>129.21507533525329</v>
          </cell>
          <cell r="F45">
            <v>477.87664351920955</v>
          </cell>
          <cell r="G45">
            <v>206.80886503358613</v>
          </cell>
          <cell r="H45">
            <v>1209.0139843014467</v>
          </cell>
          <cell r="I45">
            <v>1.7057684834197056</v>
          </cell>
          <cell r="J45">
            <v>138.90184818270239</v>
          </cell>
          <cell r="K45">
            <v>55.169782117027097</v>
          </cell>
        </row>
        <row r="46">
          <cell r="G46">
            <v>0</v>
          </cell>
        </row>
      </sheetData>
      <sheetData sheetId="3">
        <row r="13">
          <cell r="H13">
            <v>720</v>
          </cell>
          <cell r="I13">
            <v>8.2191780821917804E-2</v>
          </cell>
        </row>
        <row r="21">
          <cell r="B21">
            <v>202.67176446916679</v>
          </cell>
          <cell r="C21">
            <v>360.48797247749985</v>
          </cell>
          <cell r="D21">
            <v>128.18704372958334</v>
          </cell>
          <cell r="E21">
            <v>300.18993499319441</v>
          </cell>
          <cell r="F21">
            <v>74.675872134444418</v>
          </cell>
          <cell r="G21">
            <v>7.3002931375000006</v>
          </cell>
          <cell r="H21">
            <v>14.619341195138892</v>
          </cell>
          <cell r="I21">
            <v>96.133012218888894</v>
          </cell>
          <cell r="J21">
            <v>1.9931336730555553</v>
          </cell>
          <cell r="K21">
            <v>187.45330832638905</v>
          </cell>
        </row>
        <row r="22">
          <cell r="B22">
            <v>10.906385348611108</v>
          </cell>
          <cell r="C22">
            <v>0</v>
          </cell>
          <cell r="D22">
            <v>4.7334843055555548E-2</v>
          </cell>
          <cell r="E22">
            <v>53.335619563888876</v>
          </cell>
          <cell r="F22">
            <v>147.92437743583332</v>
          </cell>
          <cell r="G22">
            <v>121.58500450972222</v>
          </cell>
          <cell r="H22">
            <v>621.96313926527773</v>
          </cell>
          <cell r="I22">
            <v>0.84447881805555547</v>
          </cell>
          <cell r="J22">
            <v>78.353257426388893</v>
          </cell>
          <cell r="K22">
            <v>22.970200509722229</v>
          </cell>
        </row>
        <row r="24">
          <cell r="B24">
            <v>145.92367041780008</v>
          </cell>
          <cell r="C24">
            <v>259.55134018379994</v>
          </cell>
          <cell r="D24">
            <v>92.2946714853</v>
          </cell>
          <cell r="E24">
            <v>216.13675319509997</v>
          </cell>
          <cell r="F24">
            <v>53.766627936799985</v>
          </cell>
          <cell r="G24">
            <v>5.256211059</v>
          </cell>
          <cell r="H24">
            <v>10.525925660500002</v>
          </cell>
          <cell r="I24">
            <v>69.215768797600006</v>
          </cell>
          <cell r="J24">
            <v>1.4350562445999999</v>
          </cell>
          <cell r="K24">
            <v>134.96638199500012</v>
          </cell>
        </row>
        <row r="25">
          <cell r="B25">
            <v>7.8525974509999976</v>
          </cell>
          <cell r="C25">
            <v>0</v>
          </cell>
          <cell r="D25">
            <v>3.4081086999999996E-2</v>
          </cell>
          <cell r="E25">
            <v>38.401646085999992</v>
          </cell>
          <cell r="F25">
            <v>106.50555175379998</v>
          </cell>
          <cell r="G25">
            <v>87.541203246999999</v>
          </cell>
          <cell r="H25">
            <v>447.813460271</v>
          </cell>
          <cell r="I25">
            <v>0.60802474899999992</v>
          </cell>
          <cell r="J25">
            <v>56.414345347000001</v>
          </cell>
          <cell r="K25">
            <v>16.538544367000007</v>
          </cell>
        </row>
        <row r="27">
          <cell r="B27">
            <v>1.5286253317949781</v>
          </cell>
          <cell r="C27">
            <v>2.5996443501259727</v>
          </cell>
          <cell r="D27">
            <v>2.3610079089751212</v>
          </cell>
          <cell r="E27">
            <v>1.9591034716061233</v>
          </cell>
          <cell r="F27">
            <v>1.1976391738675125</v>
          </cell>
          <cell r="G27">
            <v>0.32464120583583439</v>
          </cell>
          <cell r="H27">
            <v>0</v>
          </cell>
          <cell r="I27">
            <v>0.57455606585405206</v>
          </cell>
          <cell r="J27">
            <v>0</v>
          </cell>
          <cell r="K27">
            <v>2.8785516635301236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0.30142245411521607</v>
          </cell>
          <cell r="F28">
            <v>0.83191174692193826</v>
          </cell>
          <cell r="G28">
            <v>1.1991162558643462</v>
          </cell>
          <cell r="H28">
            <v>1.3062037839637939</v>
          </cell>
          <cell r="I28">
            <v>0</v>
          </cell>
          <cell r="J28">
            <v>1.797173296394772</v>
          </cell>
          <cell r="K28">
            <v>5.8557541233184046E-2</v>
          </cell>
        </row>
        <row r="30">
          <cell r="B30">
            <v>0.47776312601428195</v>
          </cell>
        </row>
        <row r="31">
          <cell r="B31">
            <v>0.33161683190896973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0.746942730822719</v>
          </cell>
          <cell r="G33">
            <v>1.8376450820122752</v>
          </cell>
          <cell r="H33">
            <v>1.8800896610999978</v>
          </cell>
          <cell r="I33">
            <v>0</v>
          </cell>
          <cell r="J33">
            <v>2.6274447981500342</v>
          </cell>
          <cell r="K33">
            <v>0</v>
          </cell>
        </row>
        <row r="34">
          <cell r="I34">
            <v>1.2444811814012298</v>
          </cell>
        </row>
        <row r="38">
          <cell r="B38">
            <v>221.01130818229157</v>
          </cell>
          <cell r="C38">
            <v>657.69951761966354</v>
          </cell>
          <cell r="D38">
            <v>216.37384615215353</v>
          </cell>
          <cell r="E38">
            <v>421.6643386729375</v>
          </cell>
          <cell r="F38">
            <v>58.885133018766396</v>
          </cell>
          <cell r="G38">
            <v>1.6305224385732804</v>
          </cell>
          <cell r="H38">
            <v>0</v>
          </cell>
          <cell r="I38">
            <v>61.748536382428846</v>
          </cell>
          <cell r="J38">
            <v>0</v>
          </cell>
          <cell r="K38">
            <v>384.25521226499029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11.199567709362764</v>
          </cell>
          <cell r="F39">
            <v>88.929485622253807</v>
          </cell>
          <cell r="G39">
            <v>104.15446354613924</v>
          </cell>
          <cell r="H39">
            <v>564.82843737121061</v>
          </cell>
          <cell r="I39">
            <v>0</v>
          </cell>
          <cell r="J39">
            <v>99.25302397418578</v>
          </cell>
          <cell r="K39">
            <v>1.2515228901228976</v>
          </cell>
        </row>
        <row r="41">
          <cell r="B41">
            <v>101.66321558457908</v>
          </cell>
          <cell r="C41">
            <v>256.94100917048075</v>
          </cell>
          <cell r="D41">
            <v>74.182280576237545</v>
          </cell>
          <cell r="E41">
            <v>159.20022885047905</v>
          </cell>
          <cell r="F41">
            <v>30.990788370186593</v>
          </cell>
          <cell r="G41">
            <v>70.231179524099431</v>
          </cell>
          <cell r="H41">
            <v>50.547338732311026</v>
          </cell>
          <cell r="I41">
            <v>124.2184127637133</v>
          </cell>
          <cell r="J41">
            <v>353.75970665727499</v>
          </cell>
          <cell r="K41">
            <v>120.47752748702148</v>
          </cell>
        </row>
        <row r="42">
          <cell r="B42">
            <v>8.9403897882658256</v>
          </cell>
          <cell r="C42">
            <v>0</v>
          </cell>
          <cell r="D42">
            <v>1.9897009914538185E-2</v>
          </cell>
          <cell r="E42">
            <v>37.943597907024326</v>
          </cell>
          <cell r="F42">
            <v>87.958048495535138</v>
          </cell>
          <cell r="G42">
            <v>55.605510374496056</v>
          </cell>
          <cell r="H42">
            <v>328.70191995648997</v>
          </cell>
          <cell r="I42">
            <v>0.42115337652439161</v>
          </cell>
          <cell r="J42">
            <v>38.029818283320658</v>
          </cell>
          <cell r="K42">
            <v>15.111779030091753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80.281500658524934</v>
          </cell>
          <cell r="G44">
            <v>159.71775157221222</v>
          </cell>
          <cell r="H44">
            <v>814.09392230019648</v>
          </cell>
          <cell r="I44">
            <v>0</v>
          </cell>
          <cell r="J44">
            <v>143.60217059174758</v>
          </cell>
          <cell r="K44">
            <v>0</v>
          </cell>
        </row>
        <row r="45">
          <cell r="B45">
            <v>33.551212650577156</v>
          </cell>
          <cell r="C45">
            <v>0</v>
          </cell>
          <cell r="D45">
            <v>7.4668870884073785E-2</v>
          </cell>
          <cell r="E45">
            <v>142.39353677592871</v>
          </cell>
          <cell r="F45">
            <v>330.08618855486225</v>
          </cell>
          <cell r="G45">
            <v>208.67460449735825</v>
          </cell>
          <cell r="H45">
            <v>1233.5421918167131</v>
          </cell>
          <cell r="I45">
            <v>1.5804911003795619</v>
          </cell>
          <cell r="J45">
            <v>142.71710188309302</v>
          </cell>
          <cell r="K45">
            <v>56.71100743645404</v>
          </cell>
        </row>
        <row r="46">
          <cell r="G46">
            <v>0</v>
          </cell>
        </row>
      </sheetData>
      <sheetData sheetId="4">
        <row r="13">
          <cell r="H13">
            <v>744</v>
          </cell>
          <cell r="I13">
            <v>8.493150684931508E-2</v>
          </cell>
        </row>
        <row r="21">
          <cell r="B21">
            <v>192.33853591263428</v>
          </cell>
          <cell r="C21">
            <v>268.64214253010749</v>
          </cell>
          <cell r="D21">
            <v>118.18653505900538</v>
          </cell>
          <cell r="E21">
            <v>293.57270014610219</v>
          </cell>
          <cell r="F21">
            <v>81.393553674865572</v>
          </cell>
          <cell r="G21">
            <v>60.867958581989242</v>
          </cell>
          <cell r="H21">
            <v>20.438812382930106</v>
          </cell>
          <cell r="I21">
            <v>161.251394522043</v>
          </cell>
          <cell r="J21">
            <v>12.738744210887093</v>
          </cell>
          <cell r="K21">
            <v>169.89984790201615</v>
          </cell>
        </row>
        <row r="22">
          <cell r="B22">
            <v>10.748706373655914</v>
          </cell>
          <cell r="C22">
            <v>0</v>
          </cell>
          <cell r="D22">
            <v>4.5022648924731186E-2</v>
          </cell>
          <cell r="E22">
            <v>51.469403366935467</v>
          </cell>
          <cell r="F22">
            <v>247.74048249865584</v>
          </cell>
          <cell r="G22">
            <v>119.04455862768819</v>
          </cell>
          <cell r="H22">
            <v>603.89673432795712</v>
          </cell>
          <cell r="I22">
            <v>0.8805112291666668</v>
          </cell>
          <cell r="J22">
            <v>76.179344862903235</v>
          </cell>
          <cell r="K22">
            <v>24.298881736559142</v>
          </cell>
        </row>
        <row r="24">
          <cell r="B24">
            <v>143.09987071899991</v>
          </cell>
          <cell r="C24">
            <v>199.86975404239996</v>
          </cell>
          <cell r="D24">
            <v>87.930782083899999</v>
          </cell>
          <cell r="E24">
            <v>218.41808890870004</v>
          </cell>
          <cell r="F24">
            <v>60.556803934099989</v>
          </cell>
          <cell r="G24">
            <v>45.285761184999998</v>
          </cell>
          <cell r="H24">
            <v>15.206476412899999</v>
          </cell>
          <cell r="I24">
            <v>119.97103752439999</v>
          </cell>
          <cell r="J24">
            <v>9.4776256928999967</v>
          </cell>
          <cell r="K24">
            <v>126.40548683910001</v>
          </cell>
        </row>
        <row r="25">
          <cell r="B25">
            <v>7.9970375419999993</v>
          </cell>
          <cell r="C25">
            <v>0</v>
          </cell>
          <cell r="D25">
            <v>3.3496850800000005E-2</v>
          </cell>
          <cell r="E25">
            <v>38.293236104999991</v>
          </cell>
          <cell r="F25">
            <v>184.31891897899996</v>
          </cell>
          <cell r="G25">
            <v>88.56915161900001</v>
          </cell>
          <cell r="H25">
            <v>449.29917034000005</v>
          </cell>
          <cell r="I25">
            <v>0.65510035450000015</v>
          </cell>
          <cell r="J25">
            <v>56.677432578000008</v>
          </cell>
          <cell r="K25">
            <v>18.078368012000002</v>
          </cell>
        </row>
        <row r="27">
          <cell r="B27">
            <v>1.1915187636671676</v>
          </cell>
          <cell r="C27">
            <v>2.2780209619917913</v>
          </cell>
          <cell r="D27">
            <v>1.9462764214064643</v>
          </cell>
          <cell r="E27">
            <v>1.6549681239236915</v>
          </cell>
          <cell r="F27">
            <v>0.56280371917003058</v>
          </cell>
          <cell r="G27">
            <v>0.30491680009770361</v>
          </cell>
          <cell r="H27">
            <v>0.15113637922604567</v>
          </cell>
          <cell r="I27">
            <v>0.7730077078601002</v>
          </cell>
          <cell r="J27">
            <v>1.750889516234095E-2</v>
          </cell>
          <cell r="K27">
            <v>2.0098413597091942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0.3367055881605287</v>
          </cell>
          <cell r="F28">
            <v>0.71243900838892271</v>
          </cell>
          <cell r="G28">
            <v>0.93770680907757653</v>
          </cell>
          <cell r="H28">
            <v>0.83915960464429673</v>
          </cell>
          <cell r="I28">
            <v>0</v>
          </cell>
          <cell r="J28">
            <v>1.3246590411099963</v>
          </cell>
          <cell r="K28">
            <v>0.22078008032475613</v>
          </cell>
        </row>
        <row r="30">
          <cell r="B30">
            <v>0.67824965149813876</v>
          </cell>
        </row>
        <row r="31">
          <cell r="B31">
            <v>0.44236500511855847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0.67871922961591036</v>
          </cell>
          <cell r="G33">
            <v>1.3262078734323419</v>
          </cell>
          <cell r="H33">
            <v>1.1704062976754657</v>
          </cell>
          <cell r="I33">
            <v>0</v>
          </cell>
          <cell r="J33">
            <v>1.6459002371792459</v>
          </cell>
          <cell r="K33">
            <v>0</v>
          </cell>
        </row>
        <row r="34">
          <cell r="I34">
            <v>1.409231234337283</v>
          </cell>
        </row>
        <row r="38">
          <cell r="B38">
            <v>167.09328579542239</v>
          </cell>
          <cell r="C38">
            <v>455.10401269112998</v>
          </cell>
          <cell r="D38">
            <v>169.533113605306</v>
          </cell>
          <cell r="E38">
            <v>359.55117038853643</v>
          </cell>
          <cell r="F38">
            <v>43.538218340788482</v>
          </cell>
          <cell r="G38">
            <v>13.805843473254269</v>
          </cell>
          <cell r="H38">
            <v>3.6036881987310729</v>
          </cell>
          <cell r="I38">
            <v>94.140348100102358</v>
          </cell>
          <cell r="J38">
            <v>0.97756082317298287</v>
          </cell>
          <cell r="K38">
            <v>253.16150119568175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12.483119895484338</v>
          </cell>
          <cell r="F39">
            <v>131.61975239983175</v>
          </cell>
          <cell r="G39">
            <v>82.589726885135818</v>
          </cell>
          <cell r="H39">
            <v>368.04465745644671</v>
          </cell>
          <cell r="I39">
            <v>0</v>
          </cell>
          <cell r="J39">
            <v>73.871127306685679</v>
          </cell>
          <cell r="K39">
            <v>2.6248838403819055</v>
          </cell>
        </row>
        <row r="41">
          <cell r="B41">
            <v>144.32474334228894</v>
          </cell>
          <cell r="C41">
            <v>283.37270439592226</v>
          </cell>
          <cell r="D41">
            <v>105.31182338811598</v>
          </cell>
          <cell r="E41">
            <v>226.00634887220977</v>
          </cell>
          <cell r="F41">
            <v>137.08781956080381</v>
          </cell>
          <cell r="G41">
            <v>99.702698770226391</v>
          </cell>
          <cell r="H41">
            <v>71.758813128503064</v>
          </cell>
          <cell r="I41">
            <v>176.34490938951609</v>
          </cell>
          <cell r="J41">
            <v>502.20995445179688</v>
          </cell>
          <cell r="K41">
            <v>171.0342146182856</v>
          </cell>
        </row>
        <row r="42">
          <cell r="B42">
            <v>8.2102944950004453</v>
          </cell>
          <cell r="C42">
            <v>0</v>
          </cell>
          <cell r="D42">
            <v>5.7507450665412609E-2</v>
          </cell>
          <cell r="E42">
            <v>49.620082624148694</v>
          </cell>
          <cell r="F42">
            <v>179.55595557762291</v>
          </cell>
          <cell r="G42">
            <v>75.025104868107519</v>
          </cell>
          <cell r="H42">
            <v>436.87083175498606</v>
          </cell>
          <cell r="I42">
            <v>0.3361974038901045</v>
          </cell>
          <cell r="J42">
            <v>49.531609623124993</v>
          </cell>
          <cell r="K42">
            <v>19.986050931256472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125.36934755759428</v>
          </cell>
          <cell r="G44">
            <v>117.10499889360102</v>
          </cell>
          <cell r="H44">
            <v>512.90271740902801</v>
          </cell>
          <cell r="I44">
            <v>0</v>
          </cell>
          <cell r="J44">
            <v>93.531968498174052</v>
          </cell>
          <cell r="K44">
            <v>0</v>
          </cell>
        </row>
        <row r="45">
          <cell r="B45">
            <v>26.155331709299976</v>
          </cell>
          <cell r="C45">
            <v>0</v>
          </cell>
          <cell r="D45">
            <v>0.18320006046384688</v>
          </cell>
          <cell r="E45">
            <v>158.07346755561304</v>
          </cell>
          <cell r="F45">
            <v>572.00695801750328</v>
          </cell>
          <cell r="G45">
            <v>239.00561734360321</v>
          </cell>
          <cell r="H45">
            <v>1391.7285824068144</v>
          </cell>
          <cell r="I45">
            <v>1.0710157380963352</v>
          </cell>
          <cell r="J45">
            <v>157.79162130874562</v>
          </cell>
          <cell r="K45">
            <v>63.669067167358463</v>
          </cell>
        </row>
        <row r="46">
          <cell r="G46">
            <v>0</v>
          </cell>
        </row>
      </sheetData>
      <sheetData sheetId="5">
        <row r="13">
          <cell r="H13">
            <v>720</v>
          </cell>
          <cell r="I13">
            <v>8.2191780821917818E-2</v>
          </cell>
        </row>
        <row r="21">
          <cell r="B21">
            <v>181.73619104847228</v>
          </cell>
          <cell r="C21">
            <v>234.08090260611101</v>
          </cell>
          <cell r="D21">
            <v>107.1735522194445</v>
          </cell>
          <cell r="E21">
            <v>287.6787688086111</v>
          </cell>
          <cell r="F21">
            <v>101.25134812055556</v>
          </cell>
          <cell r="G21">
            <v>64.648996123611113</v>
          </cell>
          <cell r="H21">
            <v>6.8218257863888905</v>
          </cell>
          <cell r="I21">
            <v>32.158189121805556</v>
          </cell>
          <cell r="J21">
            <v>189.55224265236109</v>
          </cell>
          <cell r="K21">
            <v>99.813468954027769</v>
          </cell>
        </row>
        <row r="22">
          <cell r="B22">
            <v>10.884135375</v>
          </cell>
          <cell r="C22">
            <v>0</v>
          </cell>
          <cell r="D22">
            <v>4.5897902777777777E-2</v>
          </cell>
          <cell r="E22">
            <v>51.424680364583338</v>
          </cell>
          <cell r="F22">
            <v>154.69951807777778</v>
          </cell>
          <cell r="G22">
            <v>117.08366870972225</v>
          </cell>
          <cell r="H22">
            <v>594.13242498472221</v>
          </cell>
          <cell r="I22">
            <v>0.84070795347222205</v>
          </cell>
          <cell r="J22">
            <v>72.21401126527779</v>
          </cell>
          <cell r="K22">
            <v>24.488921851388881</v>
          </cell>
        </row>
        <row r="24">
          <cell r="B24">
            <v>130.85005755490005</v>
          </cell>
          <cell r="C24">
            <v>168.53824987639993</v>
          </cell>
          <cell r="D24">
            <v>77.164957598000044</v>
          </cell>
          <cell r="E24">
            <v>207.12871354219999</v>
          </cell>
          <cell r="F24">
            <v>72.900970646800005</v>
          </cell>
          <cell r="G24">
            <v>46.547277209000001</v>
          </cell>
          <cell r="H24">
            <v>4.9117145662000015</v>
          </cell>
          <cell r="I24">
            <v>23.153896167700001</v>
          </cell>
          <cell r="J24">
            <v>136.47761470969999</v>
          </cell>
          <cell r="K24">
            <v>71.865697646899989</v>
          </cell>
        </row>
        <row r="25">
          <cell r="B25">
            <v>7.8365774699999999</v>
          </cell>
          <cell r="C25">
            <v>0</v>
          </cell>
          <cell r="D25">
            <v>3.3046489999999998E-2</v>
          </cell>
          <cell r="E25">
            <v>37.025769862500006</v>
          </cell>
          <cell r="F25">
            <v>111.38365301600001</v>
          </cell>
          <cell r="G25">
            <v>84.300241471000021</v>
          </cell>
          <cell r="H25">
            <v>427.77534598900002</v>
          </cell>
          <cell r="I25">
            <v>0.60530972649999992</v>
          </cell>
          <cell r="J25">
            <v>51.994088111000003</v>
          </cell>
          <cell r="K25">
            <v>17.632023732999993</v>
          </cell>
        </row>
        <row r="27">
          <cell r="B27">
            <v>1.3859062898642716</v>
          </cell>
          <cell r="C27">
            <v>2.6647495620938013</v>
          </cell>
          <cell r="D27">
            <v>2.4339587402266827</v>
          </cell>
          <cell r="E27">
            <v>1.9881849566492489</v>
          </cell>
          <cell r="F27">
            <v>0.8137664411327693</v>
          </cell>
          <cell r="G27">
            <v>0.34995207334349537</v>
          </cell>
          <cell r="H27">
            <v>3.9215939477008514E-2</v>
          </cell>
          <cell r="I27">
            <v>0.66201288367418132</v>
          </cell>
          <cell r="J27">
            <v>9.5572451236683439E-2</v>
          </cell>
          <cell r="K27">
            <v>1.5546165660161477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0.31834267174406994</v>
          </cell>
          <cell r="F28">
            <v>0.66673676446715302</v>
          </cell>
          <cell r="G28">
            <v>0.95332138286059942</v>
          </cell>
          <cell r="H28">
            <v>0.94768334405588539</v>
          </cell>
          <cell r="I28">
            <v>0</v>
          </cell>
          <cell r="J28">
            <v>1.4505879740765888</v>
          </cell>
          <cell r="K28">
            <v>0.23926166730282969</v>
          </cell>
        </row>
        <row r="30">
          <cell r="B30">
            <v>0.6498941430058417</v>
          </cell>
        </row>
        <row r="31">
          <cell r="B31">
            <v>0.44119129998604301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0.61816182967490441</v>
          </cell>
          <cell r="G33">
            <v>1.4666857342784778</v>
          </cell>
          <cell r="H33">
            <v>1.3662881651698509</v>
          </cell>
          <cell r="I33">
            <v>0</v>
          </cell>
          <cell r="J33">
            <v>1.9282877366757334</v>
          </cell>
          <cell r="K33">
            <v>0</v>
          </cell>
        </row>
        <row r="34">
          <cell r="I34">
            <v>1.3628095503682049</v>
          </cell>
        </row>
        <row r="38">
          <cell r="B38">
            <v>178.72868604841298</v>
          </cell>
          <cell r="C38">
            <v>445.49143455720326</v>
          </cell>
          <cell r="D38">
            <v>188.89557960807528</v>
          </cell>
          <cell r="E38">
            <v>407.95063502712281</v>
          </cell>
          <cell r="F38">
            <v>67.445391841541692</v>
          </cell>
          <cell r="G38">
            <v>16.007173352660978</v>
          </cell>
          <cell r="H38">
            <v>1.4008545538650208</v>
          </cell>
          <cell r="I38">
            <v>22.527187007385436</v>
          </cell>
          <cell r="J38">
            <v>47.306104595772439</v>
          </cell>
          <cell r="K38">
            <v>108.02451084121309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11.706861892865019</v>
          </cell>
          <cell r="F39">
            <v>73.772187565852434</v>
          </cell>
          <cell r="G39">
            <v>79.918930948534822</v>
          </cell>
          <cell r="H39">
            <v>395.38808489072517</v>
          </cell>
          <cell r="I39">
            <v>0</v>
          </cell>
          <cell r="J39">
            <v>73.760374042353732</v>
          </cell>
          <cell r="K39">
            <v>3.1075053707903724</v>
          </cell>
        </row>
        <row r="41">
          <cell r="B41">
            <v>138.29097469021303</v>
          </cell>
          <cell r="C41">
            <v>271.52577294784061</v>
          </cell>
          <cell r="D41">
            <v>100.90906358451703</v>
          </cell>
          <cell r="E41">
            <v>216.55772633240656</v>
          </cell>
          <cell r="F41">
            <v>176.05536669610402</v>
          </cell>
          <cell r="G41">
            <v>95.534439021858717</v>
          </cell>
          <cell r="H41">
            <v>68.758800330018047</v>
          </cell>
          <cell r="I41">
            <v>168.97247718151885</v>
          </cell>
          <cell r="J41">
            <v>481.21411818867546</v>
          </cell>
          <cell r="K41">
            <v>163.88380604178309</v>
          </cell>
        </row>
        <row r="42">
          <cell r="B42">
            <v>6.8869961927821288</v>
          </cell>
          <cell r="C42">
            <v>0</v>
          </cell>
          <cell r="D42">
            <v>4.4119129998604296E-2</v>
          </cell>
          <cell r="E42">
            <v>50.181098460412514</v>
          </cell>
          <cell r="F42">
            <v>177.7736224163761</v>
          </cell>
          <cell r="G42">
            <v>72.315665980712282</v>
          </cell>
          <cell r="H42">
            <v>429.1305765106971</v>
          </cell>
          <cell r="I42">
            <v>0.58678442898143712</v>
          </cell>
          <cell r="J42">
            <v>48.936938994451879</v>
          </cell>
          <cell r="K42">
            <v>18.838868509404037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68.933134999184887</v>
          </cell>
          <cell r="G44">
            <v>123.15413365724596</v>
          </cell>
          <cell r="H44">
            <v>570.01493387532935</v>
          </cell>
          <cell r="I44">
            <v>0</v>
          </cell>
          <cell r="J44">
            <v>99.277710512583582</v>
          </cell>
          <cell r="K44">
            <v>0</v>
          </cell>
        </row>
        <row r="45">
          <cell r="B45">
            <v>21.273457081247674</v>
          </cell>
          <cell r="C45">
            <v>0</v>
          </cell>
          <cell r="D45">
            <v>0.13628095503682044</v>
          </cell>
          <cell r="E45">
            <v>155.00595825887962</v>
          </cell>
          <cell r="F45">
            <v>549.13048022536429</v>
          </cell>
          <cell r="G45">
            <v>223.37811340085238</v>
          </cell>
          <cell r="H45">
            <v>1325.5548059136534</v>
          </cell>
          <cell r="I45">
            <v>1.8125367019897123</v>
          </cell>
          <cell r="J45">
            <v>151.16283532684125</v>
          </cell>
          <cell r="K45">
            <v>58.191967800722338</v>
          </cell>
        </row>
        <row r="46">
          <cell r="G46">
            <v>0</v>
          </cell>
        </row>
      </sheetData>
      <sheetData sheetId="6">
        <row r="13">
          <cell r="H13">
            <v>744</v>
          </cell>
          <cell r="I13">
            <v>8.4931506849315053E-2</v>
          </cell>
        </row>
        <row r="21">
          <cell r="B21">
            <v>104.04766932110216</v>
          </cell>
          <cell r="C21">
            <v>190.84144938696235</v>
          </cell>
          <cell r="D21">
            <v>75.555587534005397</v>
          </cell>
          <cell r="E21">
            <v>185.17227725255373</v>
          </cell>
          <cell r="F21">
            <v>189.78464083024195</v>
          </cell>
          <cell r="G21">
            <v>79.121893482526872</v>
          </cell>
          <cell r="H21">
            <v>6.8133085567204299</v>
          </cell>
          <cell r="I21">
            <v>5.757304213306452</v>
          </cell>
          <cell r="J21">
            <v>303.65867487674723</v>
          </cell>
          <cell r="K21">
            <v>116.42799572567205</v>
          </cell>
        </row>
        <row r="22">
          <cell r="B22">
            <v>11.09922408198925</v>
          </cell>
          <cell r="C22">
            <v>0</v>
          </cell>
          <cell r="D22">
            <v>4.7281711693548389E-2</v>
          </cell>
          <cell r="E22">
            <v>59.719674284274184</v>
          </cell>
          <cell r="F22">
            <v>155.28432519892471</v>
          </cell>
          <cell r="G22">
            <v>122.00668801747315</v>
          </cell>
          <cell r="H22">
            <v>620.20471204086016</v>
          </cell>
          <cell r="I22">
            <v>0.8744029811827958</v>
          </cell>
          <cell r="J22">
            <v>75.459551759408626</v>
          </cell>
          <cell r="K22">
            <v>23.5667020967742</v>
          </cell>
        </row>
        <row r="24">
          <cell r="B24">
            <v>77.411465974900011</v>
          </cell>
          <cell r="C24">
            <v>141.98603834389999</v>
          </cell>
          <cell r="D24">
            <v>56.213357125300014</v>
          </cell>
          <cell r="E24">
            <v>137.76817427589998</v>
          </cell>
          <cell r="F24">
            <v>141.19977277770002</v>
          </cell>
          <cell r="G24">
            <v>58.866688750999991</v>
          </cell>
          <cell r="H24">
            <v>5.0691015661999996</v>
          </cell>
          <cell r="I24">
            <v>4.2834343347000008</v>
          </cell>
          <cell r="J24">
            <v>225.92205410829996</v>
          </cell>
          <cell r="K24">
            <v>86.622428819899994</v>
          </cell>
        </row>
        <row r="25">
          <cell r="B25">
            <v>8.2578227170000034</v>
          </cell>
          <cell r="C25">
            <v>0</v>
          </cell>
          <cell r="D25">
            <v>3.51775935E-2</v>
          </cell>
          <cell r="E25">
            <v>44.431437667499992</v>
          </cell>
          <cell r="F25">
            <v>115.53153794799998</v>
          </cell>
          <cell r="G25">
            <v>90.772975885000022</v>
          </cell>
          <cell r="H25">
            <v>461.43230575839993</v>
          </cell>
          <cell r="I25">
            <v>0.65055581800000006</v>
          </cell>
          <cell r="J25">
            <v>56.141906509000023</v>
          </cell>
          <cell r="K25">
            <v>17.533626360000007</v>
          </cell>
        </row>
        <row r="27">
          <cell r="B27">
            <v>1.099328828194754</v>
          </cell>
          <cell r="C27">
            <v>3.2328264992461286</v>
          </cell>
          <cell r="D27">
            <v>1.9973732495012109</v>
          </cell>
          <cell r="E27">
            <v>2.3185986253316306</v>
          </cell>
          <cell r="F27">
            <v>1.3266702162781976</v>
          </cell>
          <cell r="G27">
            <v>0.33700092817285437</v>
          </cell>
          <cell r="H27">
            <v>1.2866381683240466E-2</v>
          </cell>
          <cell r="I27">
            <v>2.6498739724324299E-2</v>
          </cell>
          <cell r="J27">
            <v>0.33133977903378814</v>
          </cell>
          <cell r="K27">
            <v>1.7084438459891689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0.40707877944421461</v>
          </cell>
          <cell r="F28">
            <v>0.84278429129873711</v>
          </cell>
          <cell r="G28">
            <v>0.97655106501948441</v>
          </cell>
          <cell r="H28">
            <v>0.67017480607732727</v>
          </cell>
          <cell r="I28">
            <v>0</v>
          </cell>
          <cell r="J28">
            <v>1.3731348702277224</v>
          </cell>
          <cell r="K28">
            <v>0.65223921211618152</v>
          </cell>
        </row>
        <row r="30">
          <cell r="B30">
            <v>0.7452567770644779</v>
          </cell>
        </row>
        <row r="31">
          <cell r="B31">
            <v>0.48972849248511807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0.75765606767550253</v>
          </cell>
          <cell r="G33">
            <v>1.5386590236957114</v>
          </cell>
          <cell r="H33">
            <v>1.0484701347539571</v>
          </cell>
          <cell r="I33">
            <v>0</v>
          </cell>
          <cell r="J33">
            <v>1.5940107194351678</v>
          </cell>
          <cell r="K33">
            <v>0</v>
          </cell>
        </row>
        <row r="34">
          <cell r="I34">
            <v>1.4570020234003129</v>
          </cell>
        </row>
        <row r="38">
          <cell r="B38">
            <v>74.305438919723457</v>
          </cell>
          <cell r="C38">
            <v>456.49285109160627</v>
          </cell>
          <cell r="D38">
            <v>113.69595025291106</v>
          </cell>
          <cell r="E38">
            <v>300.17093662774482</v>
          </cell>
          <cell r="F38">
            <v>162.47651627137165</v>
          </cell>
          <cell r="G38">
            <v>19.927786384638527</v>
          </cell>
          <cell r="H38">
            <v>1.76452438847745</v>
          </cell>
          <cell r="I38">
            <v>3.0708427273352163</v>
          </cell>
          <cell r="J38">
            <v>75.011258249350746</v>
          </cell>
          <cell r="K38">
            <v>181.68083054868725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17.774082021395973</v>
          </cell>
          <cell r="F39">
            <v>97.583531064469014</v>
          </cell>
          <cell r="G39">
            <v>87.433284069381386</v>
          </cell>
          <cell r="H39">
            <v>308.08903809011508</v>
          </cell>
          <cell r="I39">
            <v>0</v>
          </cell>
          <cell r="J39">
            <v>73.983752384804035</v>
          </cell>
          <cell r="K39">
            <v>10.704970428456274</v>
          </cell>
        </row>
        <row r="41">
          <cell r="B41">
            <v>158.58318959155028</v>
          </cell>
          <cell r="C41">
            <v>311.36828145753884</v>
          </cell>
          <cell r="D41">
            <v>115.71601977480147</v>
          </cell>
          <cell r="E41">
            <v>248.33446325342535</v>
          </cell>
          <cell r="F41">
            <v>133.13942566222568</v>
          </cell>
          <cell r="G41">
            <v>109.55274622847824</v>
          </cell>
          <cell r="H41">
            <v>78.848167013421772</v>
          </cell>
          <cell r="I41">
            <v>193.76676203676422</v>
          </cell>
          <cell r="J41">
            <v>551.82538057739259</v>
          </cell>
          <cell r="K41">
            <v>187.93140147234942</v>
          </cell>
        </row>
        <row r="42">
          <cell r="B42">
            <v>9.28525221751784</v>
          </cell>
          <cell r="C42">
            <v>0</v>
          </cell>
          <cell r="D42">
            <v>4.8972849248511807E-2</v>
          </cell>
          <cell r="E42">
            <v>54.692878040738009</v>
          </cell>
          <cell r="F42">
            <v>189.5298238766656</v>
          </cell>
          <cell r="G42">
            <v>82.382127005846556</v>
          </cell>
          <cell r="H42">
            <v>484.67635100338663</v>
          </cell>
          <cell r="I42">
            <v>0.60236604575669539</v>
          </cell>
          <cell r="J42">
            <v>52.562559098427734</v>
          </cell>
          <cell r="K42">
            <v>21.077914316559482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88.100809102792695</v>
          </cell>
          <cell r="G44">
            <v>138.17812324072179</v>
          </cell>
          <cell r="H44">
            <v>479.83882344756211</v>
          </cell>
          <cell r="I44">
            <v>0</v>
          </cell>
          <cell r="J44">
            <v>90.163667121926977</v>
          </cell>
          <cell r="K44">
            <v>0</v>
          </cell>
        </row>
        <row r="45">
          <cell r="B45">
            <v>27.624758363669937</v>
          </cell>
          <cell r="C45">
            <v>0</v>
          </cell>
          <cell r="D45">
            <v>0.14570020234003128</v>
          </cell>
          <cell r="E45">
            <v>162.71798597334697</v>
          </cell>
          <cell r="F45">
            <v>563.8743530761551</v>
          </cell>
          <cell r="G45">
            <v>245.09688037640061</v>
          </cell>
          <cell r="H45">
            <v>1441.9712860134921</v>
          </cell>
          <cell r="I45">
            <v>1.7921124887823849</v>
          </cell>
          <cell r="J45">
            <v>156.38002717155558</v>
          </cell>
          <cell r="K45">
            <v>62.709367087149474</v>
          </cell>
        </row>
        <row r="46">
          <cell r="G46">
            <v>0</v>
          </cell>
        </row>
      </sheetData>
      <sheetData sheetId="7">
        <row r="13">
          <cell r="H13">
            <v>744</v>
          </cell>
          <cell r="I13">
            <v>8.4931506849315067E-2</v>
          </cell>
        </row>
        <row r="21">
          <cell r="B21">
            <v>70.866801075268825</v>
          </cell>
          <cell r="C21">
            <v>304.80201612903221</v>
          </cell>
          <cell r="D21">
            <v>31.5</v>
          </cell>
          <cell r="E21">
            <v>159.06639784946236</v>
          </cell>
          <cell r="F21">
            <v>271.32264784946233</v>
          </cell>
          <cell r="G21">
            <v>47.608333333333334</v>
          </cell>
          <cell r="H21">
            <v>0</v>
          </cell>
          <cell r="I21">
            <v>58.666666666666664</v>
          </cell>
          <cell r="J21">
            <v>394.77163978494622</v>
          </cell>
          <cell r="K21">
            <v>88.563239247311827</v>
          </cell>
        </row>
        <row r="22">
          <cell r="B22">
            <v>36.599529569892475</v>
          </cell>
          <cell r="C22">
            <v>0</v>
          </cell>
          <cell r="D22">
            <v>8.0107526881720445E-2</v>
          </cell>
          <cell r="E22">
            <v>74.0116935483871</v>
          </cell>
          <cell r="F22">
            <v>163.22936827956988</v>
          </cell>
          <cell r="G22">
            <v>142.53245967741935</v>
          </cell>
          <cell r="H22">
            <v>869.28998655913983</v>
          </cell>
          <cell r="I22">
            <v>0</v>
          </cell>
          <cell r="J22">
            <v>118.93319892473119</v>
          </cell>
          <cell r="K22">
            <v>22.471505376344084</v>
          </cell>
        </row>
        <row r="24">
          <cell r="B24">
            <v>52.724899999999998</v>
          </cell>
          <cell r="C24">
            <v>226.77269999999999</v>
          </cell>
          <cell r="D24">
            <v>23.436</v>
          </cell>
          <cell r="E24">
            <v>118.3454</v>
          </cell>
          <cell r="F24">
            <v>201.86404999999999</v>
          </cell>
          <cell r="G24">
            <v>35.4206</v>
          </cell>
          <cell r="H24">
            <v>0</v>
          </cell>
          <cell r="I24">
            <v>43.648000000000003</v>
          </cell>
          <cell r="J24">
            <v>293.71009999999995</v>
          </cell>
          <cell r="K24">
            <v>65.891050000000007</v>
          </cell>
        </row>
        <row r="25">
          <cell r="B25">
            <v>27.230049999999999</v>
          </cell>
          <cell r="C25">
            <v>0</v>
          </cell>
          <cell r="D25">
            <v>5.9600000000000007E-2</v>
          </cell>
          <cell r="E25">
            <v>55.064700000000002</v>
          </cell>
          <cell r="F25">
            <v>121.44265</v>
          </cell>
          <cell r="G25">
            <v>106.04415</v>
          </cell>
          <cell r="H25">
            <v>646.75175000000002</v>
          </cell>
          <cell r="I25">
            <v>0</v>
          </cell>
          <cell r="J25">
            <v>88.4863</v>
          </cell>
          <cell r="K25">
            <v>16.718799999999998</v>
          </cell>
        </row>
        <row r="27">
          <cell r="B27">
            <v>1.945647261989488</v>
          </cell>
          <cell r="C27">
            <v>3.2678805821920038</v>
          </cell>
          <cell r="D27">
            <v>2.8793706273458914</v>
          </cell>
          <cell r="E27">
            <v>2.4248586545354138</v>
          </cell>
          <cell r="F27">
            <v>1.8013390056249743</v>
          </cell>
          <cell r="G27">
            <v>0.52083935851189278</v>
          </cell>
          <cell r="H27">
            <v>0</v>
          </cell>
          <cell r="I27">
            <v>1.3123058249469042</v>
          </cell>
          <cell r="J27">
            <v>0.53574665181375847</v>
          </cell>
          <cell r="K27">
            <v>4.6230284117425722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0.61735341097674701</v>
          </cell>
          <cell r="F28">
            <v>0.8728463225527302</v>
          </cell>
          <cell r="G28">
            <v>1.1064357928482198</v>
          </cell>
          <cell r="H28">
            <v>0.7549090908459104</v>
          </cell>
          <cell r="I28">
            <v>0</v>
          </cell>
          <cell r="J28">
            <v>1.5890809245802393</v>
          </cell>
          <cell r="K28">
            <v>0.18454843776565977</v>
          </cell>
        </row>
        <row r="30">
          <cell r="B30">
            <v>0.39610676444517601</v>
          </cell>
        </row>
        <row r="31">
          <cell r="B31">
            <v>0.29398165884870064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0.98815500325006012</v>
          </cell>
          <cell r="G33">
            <v>2.3245342806772697</v>
          </cell>
          <cell r="H33">
            <v>1.2247087843385729</v>
          </cell>
          <cell r="I33">
            <v>0</v>
          </cell>
          <cell r="J33">
            <v>1.5437671324048228</v>
          </cell>
          <cell r="K33">
            <v>0</v>
          </cell>
        </row>
        <row r="34">
          <cell r="I34">
            <v>1.0486898555758473</v>
          </cell>
        </row>
        <row r="38">
          <cell r="B38">
            <v>104.37662063915452</v>
          </cell>
          <cell r="C38">
            <v>713.83499795396847</v>
          </cell>
          <cell r="D38">
            <v>67.480930022478304</v>
          </cell>
          <cell r="E38">
            <v>280.79234206184935</v>
          </cell>
          <cell r="F38">
            <v>336.05028506322105</v>
          </cell>
          <cell r="G38">
            <v>18.058636841288685</v>
          </cell>
          <cell r="H38">
            <v>0</v>
          </cell>
          <cell r="I38">
            <v>71.063366095201829</v>
          </cell>
          <cell r="J38">
            <v>157.02162272063416</v>
          </cell>
          <cell r="K38">
            <v>305.26985712086417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33.341061022707379</v>
          </cell>
          <cell r="F39">
            <v>109.38507373972588</v>
          </cell>
          <cell r="G39">
            <v>116.28828627607164</v>
          </cell>
          <cell r="H39">
            <v>482.63983950079182</v>
          </cell>
          <cell r="I39">
            <v>0</v>
          </cell>
          <cell r="J39">
            <v>135.55115479677943</v>
          </cell>
          <cell r="K39">
            <v>3.0582954576355941</v>
          </cell>
        </row>
        <row r="41">
          <cell r="B41">
            <v>116.5227268968374</v>
          </cell>
          <cell r="C41">
            <v>169.80700885000246</v>
          </cell>
          <cell r="D41">
            <v>60.600373892467466</v>
          </cell>
          <cell r="E41">
            <v>161.99182238749918</v>
          </cell>
          <cell r="F41">
            <v>297.36076290540973</v>
          </cell>
          <cell r="G41">
            <v>58.227694373440869</v>
          </cell>
          <cell r="H41">
            <v>63.111690779049894</v>
          </cell>
          <cell r="I41">
            <v>102.98775875574574</v>
          </cell>
          <cell r="J41">
            <v>293.21803238054144</v>
          </cell>
          <cell r="K41">
            <v>99.886242790140003</v>
          </cell>
        </row>
        <row r="42">
          <cell r="B42">
            <v>5.8544402040881796</v>
          </cell>
          <cell r="C42">
            <v>0</v>
          </cell>
          <cell r="D42">
            <v>2.6887521105395475E-2</v>
          </cell>
          <cell r="E42">
            <v>36.327972439574843</v>
          </cell>
          <cell r="F42">
            <v>121.63989061946826</v>
          </cell>
          <cell r="G42">
            <v>52.989880427042173</v>
          </cell>
          <cell r="H42">
            <v>330.34629561220862</v>
          </cell>
          <cell r="I42">
            <v>0.38511597309179779</v>
          </cell>
          <cell r="J42">
            <v>43.670975421974475</v>
          </cell>
          <cell r="K42">
            <v>18.921733500503532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124.7944262797798</v>
          </cell>
          <cell r="G44">
            <v>244.60697195964255</v>
          </cell>
          <cell r="H44">
            <v>781.5453983779189</v>
          </cell>
          <cell r="I44">
            <v>0</v>
          </cell>
          <cell r="J44">
            <v>131.07610990792438</v>
          </cell>
          <cell r="K44">
            <v>0</v>
          </cell>
        </row>
        <row r="45">
          <cell r="B45">
            <v>20.883928868713518</v>
          </cell>
          <cell r="C45">
            <v>0</v>
          </cell>
          <cell r="D45">
            <v>9.5913026463060116E-2</v>
          </cell>
          <cell r="E45">
            <v>129.58895571994793</v>
          </cell>
          <cell r="F45">
            <v>433.91318977366154</v>
          </cell>
          <cell r="G45">
            <v>189.02522786503386</v>
          </cell>
          <cell r="H45">
            <v>1178.4096000828267</v>
          </cell>
          <cell r="I45">
            <v>1.37378371080436</v>
          </cell>
          <cell r="J45">
            <v>155.78287804579216</v>
          </cell>
          <cell r="K45">
            <v>67.497510047387181</v>
          </cell>
        </row>
        <row r="46">
          <cell r="G46">
            <v>0</v>
          </cell>
        </row>
      </sheetData>
      <sheetData sheetId="8">
        <row r="13">
          <cell r="H13">
            <v>672</v>
          </cell>
          <cell r="I13">
            <v>7.6712328767123306E-2</v>
          </cell>
        </row>
        <row r="21">
          <cell r="B21">
            <v>70.942559523809521</v>
          </cell>
          <cell r="C21">
            <v>304.8252976190476</v>
          </cell>
          <cell r="D21">
            <v>31.5</v>
          </cell>
          <cell r="E21">
            <v>159.18898809523813</v>
          </cell>
          <cell r="F21">
            <v>271.43065476190475</v>
          </cell>
          <cell r="G21">
            <v>47.608333333333334</v>
          </cell>
          <cell r="H21">
            <v>0</v>
          </cell>
          <cell r="I21">
            <v>57.294642857142854</v>
          </cell>
          <cell r="J21">
            <v>392.2459821428572</v>
          </cell>
          <cell r="K21">
            <v>88.321354166666652</v>
          </cell>
        </row>
        <row r="22">
          <cell r="B22">
            <v>36.686011904761905</v>
          </cell>
          <cell r="C22">
            <v>0</v>
          </cell>
          <cell r="D22">
            <v>7.7083333333333323E-2</v>
          </cell>
          <cell r="E22">
            <v>73.660044642857144</v>
          </cell>
          <cell r="F22">
            <v>162.50550595238096</v>
          </cell>
          <cell r="G22">
            <v>141.91830357142857</v>
          </cell>
          <cell r="H22">
            <v>867.49583333333328</v>
          </cell>
          <cell r="I22">
            <v>0</v>
          </cell>
          <cell r="J22">
            <v>118.66264880952382</v>
          </cell>
          <cell r="K22">
            <v>22.343601190476193</v>
          </cell>
        </row>
        <row r="24">
          <cell r="B24">
            <v>47.673400000000001</v>
          </cell>
          <cell r="C24">
            <v>204.84259999999998</v>
          </cell>
          <cell r="D24">
            <v>21.167999999999999</v>
          </cell>
          <cell r="E24">
            <v>106.97500000000001</v>
          </cell>
          <cell r="F24">
            <v>182.4014</v>
          </cell>
          <cell r="G24">
            <v>31.992800000000003</v>
          </cell>
          <cell r="H24">
            <v>0</v>
          </cell>
          <cell r="I24">
            <v>38.502000000000002</v>
          </cell>
          <cell r="J24">
            <v>263.58930000000004</v>
          </cell>
          <cell r="K24">
            <v>59.351949999999988</v>
          </cell>
        </row>
        <row r="25">
          <cell r="B25">
            <v>24.652999999999999</v>
          </cell>
          <cell r="C25">
            <v>0</v>
          </cell>
          <cell r="D25">
            <v>5.1799999999999999E-2</v>
          </cell>
          <cell r="E25">
            <v>49.499550000000006</v>
          </cell>
          <cell r="F25">
            <v>109.2037</v>
          </cell>
          <cell r="G25">
            <v>95.369099999999989</v>
          </cell>
          <cell r="H25">
            <v>582.95719999999994</v>
          </cell>
          <cell r="I25">
            <v>0</v>
          </cell>
          <cell r="J25">
            <v>79.74130000000001</v>
          </cell>
          <cell r="K25">
            <v>15.014900000000001</v>
          </cell>
        </row>
        <row r="27">
          <cell r="B27">
            <v>1.9457531088874163</v>
          </cell>
          <cell r="C27">
            <v>3.2720586605132502</v>
          </cell>
          <cell r="D27">
            <v>2.8755017176659456</v>
          </cell>
          <cell r="E27">
            <v>2.4295110882405133</v>
          </cell>
          <cell r="F27">
            <v>1.7973466105815969</v>
          </cell>
          <cell r="G27">
            <v>0.5232436948358492</v>
          </cell>
          <cell r="H27">
            <v>0</v>
          </cell>
          <cell r="I27">
            <v>1.2558779723695543</v>
          </cell>
          <cell r="J27">
            <v>0.53721612318023537</v>
          </cell>
          <cell r="K27">
            <v>4.6303840248198593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0.61855080634308179</v>
          </cell>
          <cell r="F28">
            <v>0.86945412534255861</v>
          </cell>
          <cell r="G28">
            <v>1.1056342386939899</v>
          </cell>
          <cell r="H28">
            <v>0.75511423846591197</v>
          </cell>
          <cell r="I28">
            <v>0</v>
          </cell>
          <cell r="J28">
            <v>1.6072459630386216</v>
          </cell>
          <cell r="K28">
            <v>0.18499527501941568</v>
          </cell>
        </row>
        <row r="30">
          <cell r="B30">
            <v>0.3577738517569331</v>
          </cell>
        </row>
        <row r="31">
          <cell r="B31">
            <v>0.26553182089560057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0.98592123977623658</v>
          </cell>
          <cell r="G33">
            <v>2.3223136671318163</v>
          </cell>
          <cell r="H33">
            <v>1.2252356261876176</v>
          </cell>
          <cell r="I33">
            <v>0</v>
          </cell>
          <cell r="J33">
            <v>1.566367512240922</v>
          </cell>
          <cell r="K33">
            <v>0</v>
          </cell>
        </row>
        <row r="34">
          <cell r="I34">
            <v>0.94720374052012013</v>
          </cell>
        </row>
        <row r="38">
          <cell r="B38">
            <v>94.367635493743393</v>
          </cell>
          <cell r="C38">
            <v>647.45240724845542</v>
          </cell>
          <cell r="D38">
            <v>60.868620359552722</v>
          </cell>
          <cell r="E38">
            <v>254.37198867054641</v>
          </cell>
          <cell r="F38">
            <v>302.60318055351757</v>
          </cell>
          <cell r="G38">
            <v>16.398556244757959</v>
          </cell>
          <cell r="H38">
            <v>0</v>
          </cell>
          <cell r="I38">
            <v>62.438902974836139</v>
          </cell>
          <cell r="J38">
            <v>141.30838944669006</v>
          </cell>
          <cell r="K38">
            <v>275.36975250862582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30.058562715667186</v>
          </cell>
          <cell r="F39">
            <v>98.202875734206799</v>
          </cell>
          <cell r="G39">
            <v>104.6126492492812</v>
          </cell>
          <cell r="H39">
            <v>435.5240104106274</v>
          </cell>
          <cell r="I39">
            <v>0</v>
          </cell>
          <cell r="J39">
            <v>123.9246398793142</v>
          </cell>
          <cell r="K39">
            <v>2.7541620826428002</v>
          </cell>
        </row>
        <row r="41">
          <cell r="B41">
            <v>105.24633397133701</v>
          </cell>
          <cell r="C41">
            <v>153.37407250967968</v>
          </cell>
          <cell r="D41">
            <v>54.735821580293205</v>
          </cell>
          <cell r="E41">
            <v>146.31519441451542</v>
          </cell>
          <cell r="F41">
            <v>268.58391488230563</v>
          </cell>
          <cell r="G41">
            <v>52.592756208269172</v>
          </cell>
          <cell r="H41">
            <v>57.004107800432152</v>
          </cell>
          <cell r="I41">
            <v>93.021201456802601</v>
          </cell>
          <cell r="J41">
            <v>264.84209376306973</v>
          </cell>
          <cell r="K41">
            <v>90.219832197545827</v>
          </cell>
        </row>
        <row r="42">
          <cell r="B42">
            <v>5.2878814746602902</v>
          </cell>
          <cell r="C42">
            <v>0</v>
          </cell>
          <cell r="D42">
            <v>2.4285502933905592E-2</v>
          </cell>
          <cell r="E42">
            <v>32.812362203486956</v>
          </cell>
          <cell r="F42">
            <v>109.86828830145518</v>
          </cell>
          <cell r="G42">
            <v>47.861827482489701</v>
          </cell>
          <cell r="H42">
            <v>298.37729926264007</v>
          </cell>
          <cell r="I42">
            <v>0.34784668537323671</v>
          </cell>
          <cell r="J42">
            <v>39.444751994041454</v>
          </cell>
          <cell r="K42">
            <v>17.090598000454797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112.19164659179435</v>
          </cell>
          <cell r="G44">
            <v>220.02496610344028</v>
          </cell>
          <cell r="H44">
            <v>705.41489992800712</v>
          </cell>
          <cell r="I44">
            <v>0</v>
          </cell>
          <cell r="J44">
            <v>120.32466101248197</v>
          </cell>
          <cell r="K44">
            <v>0</v>
          </cell>
        </row>
        <row r="45">
          <cell r="B45">
            <v>18.862903494321884</v>
          </cell>
          <cell r="C45">
            <v>0</v>
          </cell>
          <cell r="D45">
            <v>8.6631120676312359E-2</v>
          </cell>
          <cell r="E45">
            <v>117.04808903737234</v>
          </cell>
          <cell r="F45">
            <v>391.92159076330717</v>
          </cell>
          <cell r="G45">
            <v>170.73246387809507</v>
          </cell>
          <cell r="H45">
            <v>1064.3699613651336</v>
          </cell>
          <cell r="I45">
            <v>1.2408369000813575</v>
          </cell>
          <cell r="J45">
            <v>140.70711565426384</v>
          </cell>
          <cell r="K45">
            <v>60.965492946027112</v>
          </cell>
        </row>
        <row r="46">
          <cell r="G46">
            <v>0</v>
          </cell>
        </row>
      </sheetData>
      <sheetData sheetId="9">
        <row r="13">
          <cell r="H13">
            <v>744</v>
          </cell>
          <cell r="I13">
            <v>8.4931506849315067E-2</v>
          </cell>
        </row>
        <row r="21">
          <cell r="B21">
            <v>70.675940860215064</v>
          </cell>
          <cell r="C21">
            <v>315.46061827956981</v>
          </cell>
          <cell r="D21">
            <v>31.5</v>
          </cell>
          <cell r="E21">
            <v>159.50725806451609</v>
          </cell>
          <cell r="F21">
            <v>271.0159274193548</v>
          </cell>
          <cell r="G21">
            <v>47.608333333333334</v>
          </cell>
          <cell r="H21">
            <v>0</v>
          </cell>
          <cell r="I21">
            <v>63.666666666666664</v>
          </cell>
          <cell r="J21">
            <v>397.16169354838701</v>
          </cell>
          <cell r="K21">
            <v>88.463104838709683</v>
          </cell>
        </row>
        <row r="22">
          <cell r="B22">
            <v>36.941465053763444</v>
          </cell>
          <cell r="C22">
            <v>0</v>
          </cell>
          <cell r="D22">
            <v>8.4677419354838704E-2</v>
          </cell>
          <cell r="E22">
            <v>75.085215053763434</v>
          </cell>
          <cell r="F22">
            <v>165.56861559139784</v>
          </cell>
          <cell r="G22">
            <v>144.49885752688172</v>
          </cell>
          <cell r="H22">
            <v>879.74993279569867</v>
          </cell>
          <cell r="I22">
            <v>0</v>
          </cell>
          <cell r="J22">
            <v>120.1923387096774</v>
          </cell>
          <cell r="K22">
            <v>22.922043010752688</v>
          </cell>
        </row>
        <row r="24">
          <cell r="B24">
            <v>52.582900000000009</v>
          </cell>
          <cell r="C24">
            <v>234.70269999999996</v>
          </cell>
          <cell r="D24">
            <v>23.436</v>
          </cell>
          <cell r="E24">
            <v>118.67339999999999</v>
          </cell>
          <cell r="F24">
            <v>201.63584999999998</v>
          </cell>
          <cell r="G24">
            <v>35.4206</v>
          </cell>
          <cell r="H24">
            <v>0</v>
          </cell>
          <cell r="I24">
            <v>47.368000000000002</v>
          </cell>
          <cell r="J24">
            <v>295.48829999999992</v>
          </cell>
          <cell r="K24">
            <v>65.816550000000007</v>
          </cell>
        </row>
        <row r="25">
          <cell r="B25">
            <v>27.484450000000002</v>
          </cell>
          <cell r="C25">
            <v>0</v>
          </cell>
          <cell r="D25">
            <v>6.3E-2</v>
          </cell>
          <cell r="E25">
            <v>55.863399999999992</v>
          </cell>
          <cell r="F25">
            <v>123.18304999999999</v>
          </cell>
          <cell r="G25">
            <v>107.50715000000001</v>
          </cell>
          <cell r="H25">
            <v>654.53394999999989</v>
          </cell>
          <cell r="I25">
            <v>0</v>
          </cell>
          <cell r="J25">
            <v>89.423099999999991</v>
          </cell>
          <cell r="K25">
            <v>17.053999999999998</v>
          </cell>
        </row>
        <row r="27">
          <cell r="B27">
            <v>1.8959718601641993</v>
          </cell>
          <cell r="C27">
            <v>3.1993880687426519</v>
          </cell>
          <cell r="D27">
            <v>2.8627045548784311</v>
          </cell>
          <cell r="E27">
            <v>2.3878077536273179</v>
          </cell>
          <cell r="F27">
            <v>1.771502421759475</v>
          </cell>
          <cell r="G27">
            <v>0.51270492919632171</v>
          </cell>
          <cell r="H27">
            <v>0</v>
          </cell>
          <cell r="I27">
            <v>1.4273564929499456</v>
          </cell>
          <cell r="J27">
            <v>0.52209265584950626</v>
          </cell>
          <cell r="K27">
            <v>4.5450263301917424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0.61587007003878957</v>
          </cell>
          <cell r="F28">
            <v>0.86291003079482764</v>
          </cell>
          <cell r="G28">
            <v>1.0932613126231412</v>
          </cell>
          <cell r="H28">
            <v>0.74577132827965809</v>
          </cell>
          <cell r="I28">
            <v>0</v>
          </cell>
          <cell r="J28">
            <v>1.5545289610801303</v>
          </cell>
          <cell r="K28">
            <v>0.18334434937992072</v>
          </cell>
        </row>
        <row r="30">
          <cell r="B30">
            <v>0.39501873073189214</v>
          </cell>
        </row>
        <row r="31">
          <cell r="B31">
            <v>0.29398165884870064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0.98059970274375574</v>
          </cell>
          <cell r="G33">
            <v>2.3012869638069335</v>
          </cell>
          <cell r="H33">
            <v>1.2097442313769979</v>
          </cell>
          <cell r="I33">
            <v>0</v>
          </cell>
          <cell r="J33">
            <v>1.5019041592920483</v>
          </cell>
          <cell r="K33">
            <v>0</v>
          </cell>
        </row>
        <row r="34">
          <cell r="I34">
            <v>1.0486898555758473</v>
          </cell>
        </row>
        <row r="38">
          <cell r="B38">
            <v>101.11512687106993</v>
          </cell>
          <cell r="C38">
            <v>731.21835859270266</v>
          </cell>
          <cell r="D38">
            <v>67.090343948130894</v>
          </cell>
          <cell r="E38">
            <v>276.95587401524142</v>
          </cell>
          <cell r="F38">
            <v>328.87178077245807</v>
          </cell>
          <cell r="G38">
            <v>17.752629433336974</v>
          </cell>
          <cell r="H38">
            <v>0</v>
          </cell>
          <cell r="I38">
            <v>77.153869014921355</v>
          </cell>
          <cell r="J38">
            <v>154.19578313622233</v>
          </cell>
          <cell r="K38">
            <v>299.5948927345766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33.713418520545062</v>
          </cell>
          <cell r="F39">
            <v>109.95067982158288</v>
          </cell>
          <cell r="G39">
            <v>116.63839032766947</v>
          </cell>
          <cell r="H39">
            <v>482.95500850841415</v>
          </cell>
          <cell r="I39">
            <v>0</v>
          </cell>
          <cell r="J39">
            <v>133.90099763025415</v>
          </cell>
          <cell r="K39">
            <v>3.1052159852459278</v>
          </cell>
        </row>
        <row r="41">
          <cell r="B41">
            <v>116.20266001940074</v>
          </cell>
          <cell r="C41">
            <v>169.34057967745485</v>
          </cell>
          <cell r="D41">
            <v>60.433915614672188</v>
          </cell>
          <cell r="E41">
            <v>161.54686012011467</v>
          </cell>
          <cell r="F41">
            <v>300.45465205115477</v>
          </cell>
          <cell r="G41">
            <v>58.06775341758815</v>
          </cell>
          <cell r="H41">
            <v>62.938334367512383</v>
          </cell>
          <cell r="I41">
            <v>102.70486999029198</v>
          </cell>
          <cell r="J41">
            <v>292.41261542428322</v>
          </cell>
          <cell r="K41">
            <v>99.611873328661218</v>
          </cell>
        </row>
        <row r="42">
          <cell r="B42">
            <v>5.8544402040881804</v>
          </cell>
          <cell r="C42">
            <v>0</v>
          </cell>
          <cell r="D42">
            <v>2.6887521105395475E-2</v>
          </cell>
          <cell r="E42">
            <v>36.327972439574843</v>
          </cell>
          <cell r="F42">
            <v>121.63989061946826</v>
          </cell>
          <cell r="G42">
            <v>52.989880427042173</v>
          </cell>
          <cell r="H42">
            <v>330.34629561220856</v>
          </cell>
          <cell r="I42">
            <v>0.38511597309179779</v>
          </cell>
          <cell r="J42">
            <v>43.670975421974475</v>
          </cell>
          <cell r="K42">
            <v>18.921733500503532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125.71266500916411</v>
          </cell>
          <cell r="G44">
            <v>245.68126643661603</v>
          </cell>
          <cell r="H44">
            <v>781.87355567244765</v>
          </cell>
          <cell r="I44">
            <v>0</v>
          </cell>
          <cell r="J44">
            <v>128.75541940703812</v>
          </cell>
          <cell r="K44">
            <v>0</v>
          </cell>
        </row>
        <row r="45">
          <cell r="B45">
            <v>20.883928868713522</v>
          </cell>
          <cell r="C45">
            <v>0</v>
          </cell>
          <cell r="D45">
            <v>9.5913026463060116E-2</v>
          </cell>
          <cell r="E45">
            <v>129.58895571994793</v>
          </cell>
          <cell r="F45">
            <v>433.91318977366154</v>
          </cell>
          <cell r="G45">
            <v>189.02522786503383</v>
          </cell>
          <cell r="H45">
            <v>1178.4096000828263</v>
          </cell>
          <cell r="I45">
            <v>1.3737837108043598</v>
          </cell>
          <cell r="J45">
            <v>155.78287804579213</v>
          </cell>
          <cell r="K45">
            <v>67.497510047387181</v>
          </cell>
        </row>
        <row r="46">
          <cell r="G46">
            <v>0</v>
          </cell>
        </row>
      </sheetData>
      <sheetData sheetId="10">
        <row r="13">
          <cell r="H13">
            <v>720</v>
          </cell>
          <cell r="I13">
            <v>8.2191780821917804E-2</v>
          </cell>
        </row>
        <row r="21">
          <cell r="B21">
            <v>70.985833333333332</v>
          </cell>
          <cell r="C21">
            <v>301.69583333333333</v>
          </cell>
          <cell r="D21">
            <v>31.5</v>
          </cell>
          <cell r="E21">
            <v>159.03916666666669</v>
          </cell>
          <cell r="F21">
            <v>271.5025</v>
          </cell>
          <cell r="G21">
            <v>47.608333333333341</v>
          </cell>
          <cell r="H21">
            <v>0</v>
          </cell>
          <cell r="I21">
            <v>56.05833333333333</v>
          </cell>
          <cell r="J21">
            <v>391.96833333333336</v>
          </cell>
          <cell r="K21">
            <v>88.391249999999999</v>
          </cell>
        </row>
        <row r="22">
          <cell r="B22">
            <v>36.571249999999999</v>
          </cell>
          <cell r="C22">
            <v>0</v>
          </cell>
          <cell r="D22">
            <v>7.6250000000000012E-2</v>
          </cell>
          <cell r="E22">
            <v>73.404166666666669</v>
          </cell>
          <cell r="F22">
            <v>161.94083333333333</v>
          </cell>
          <cell r="G22">
            <v>141.44458333333333</v>
          </cell>
          <cell r="H22">
            <v>864.72916666666663</v>
          </cell>
          <cell r="I22">
            <v>0</v>
          </cell>
          <cell r="J22">
            <v>118.33875000000002</v>
          </cell>
          <cell r="K22">
            <v>22.232916666666664</v>
          </cell>
        </row>
        <row r="24">
          <cell r="B24">
            <v>51.109799999999993</v>
          </cell>
          <cell r="C24">
            <v>217.221</v>
          </cell>
          <cell r="D24">
            <v>22.68</v>
          </cell>
          <cell r="E24">
            <v>114.50820000000002</v>
          </cell>
          <cell r="F24">
            <v>195.48179999999999</v>
          </cell>
          <cell r="G24">
            <v>34.278000000000006</v>
          </cell>
          <cell r="H24">
            <v>0</v>
          </cell>
          <cell r="I24">
            <v>40.362000000000002</v>
          </cell>
          <cell r="J24">
            <v>282.21719999999999</v>
          </cell>
          <cell r="K24">
            <v>63.6417</v>
          </cell>
        </row>
        <row r="25">
          <cell r="B25">
            <v>26.331299999999999</v>
          </cell>
          <cell r="C25">
            <v>0</v>
          </cell>
          <cell r="D25">
            <v>5.4900000000000004E-2</v>
          </cell>
          <cell r="E25">
            <v>52.850999999999999</v>
          </cell>
          <cell r="F25">
            <v>116.59739999999999</v>
          </cell>
          <cell r="G25">
            <v>101.84009999999999</v>
          </cell>
          <cell r="H25">
            <v>622.60500000000002</v>
          </cell>
          <cell r="I25">
            <v>0</v>
          </cell>
          <cell r="J25">
            <v>85.203900000000004</v>
          </cell>
          <cell r="K25">
            <v>16.0077</v>
          </cell>
        </row>
        <row r="27">
          <cell r="B27">
            <v>1.9603023483208555</v>
          </cell>
          <cell r="C27">
            <v>3.2914435168736214</v>
          </cell>
          <cell r="D27">
            <v>2.8810372345926369</v>
          </cell>
          <cell r="E27">
            <v>2.4395964175886542</v>
          </cell>
          <cell r="F27">
            <v>1.806764983127803</v>
          </cell>
          <cell r="G27">
            <v>0.52522617248086045</v>
          </cell>
          <cell r="H27">
            <v>0</v>
          </cell>
          <cell r="I27">
            <v>1.2315956193464888</v>
          </cell>
          <cell r="J27">
            <v>0.54097382949753225</v>
          </cell>
          <cell r="K27">
            <v>4.6520250460022217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0.61878514142161045</v>
          </cell>
          <cell r="F28">
            <v>0.87293629799867511</v>
          </cell>
          <cell r="G28">
            <v>1.109631880483134</v>
          </cell>
          <cell r="H28">
            <v>0.75775944950915064</v>
          </cell>
          <cell r="I28">
            <v>0</v>
          </cell>
          <cell r="J28">
            <v>1.6143342215665737</v>
          </cell>
          <cell r="K28">
            <v>0.18527349037109089</v>
          </cell>
        </row>
        <row r="30">
          <cell r="B30">
            <v>0.38227619103086347</v>
          </cell>
        </row>
        <row r="31">
          <cell r="B31">
            <v>0.28449837953100054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0.98851108691221268</v>
          </cell>
          <cell r="G33">
            <v>2.3295028885378963</v>
          </cell>
          <cell r="H33">
            <v>1.2295355986246181</v>
          </cell>
          <cell r="I33">
            <v>0</v>
          </cell>
          <cell r="J33">
            <v>1.5748564555730786</v>
          </cell>
          <cell r="K33">
            <v>0</v>
          </cell>
        </row>
        <row r="34">
          <cell r="I34">
            <v>1.0148611505572716</v>
          </cell>
        </row>
        <row r="38">
          <cell r="B38">
            <v>102.01722647819857</v>
          </cell>
          <cell r="C38">
            <v>688.28146324908448</v>
          </cell>
          <cell r="D38">
            <v>65.341924480561005</v>
          </cell>
          <cell r="E38">
            <v>273.49493494563546</v>
          </cell>
          <cell r="F38">
            <v>326.42110712698423</v>
          </cell>
          <cell r="G38">
            <v>17.641006889411827</v>
          </cell>
          <cell r="H38">
            <v>0</v>
          </cell>
          <cell r="I38">
            <v>65.484154434695881</v>
          </cell>
          <cell r="J38">
            <v>152.29670010002437</v>
          </cell>
          <cell r="K38">
            <v>296.71373247475293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32.109977892593662</v>
          </cell>
          <cell r="F39">
            <v>105.16395885966706</v>
          </cell>
          <cell r="G39">
            <v>112.06137973894413</v>
          </cell>
          <cell r="H39">
            <v>466.61681367501143</v>
          </cell>
          <cell r="I39">
            <v>0</v>
          </cell>
          <cell r="J39">
            <v>132.97693770396111</v>
          </cell>
          <cell r="K39">
            <v>2.9390393495437155</v>
          </cell>
        </row>
        <row r="41">
          <cell r="B41">
            <v>112.45418711554908</v>
          </cell>
          <cell r="C41">
            <v>163.87798033302087</v>
          </cell>
          <cell r="D41">
            <v>58.484434465811795</v>
          </cell>
          <cell r="E41">
            <v>156.33567108398194</v>
          </cell>
          <cell r="F41">
            <v>290.76256650111759</v>
          </cell>
          <cell r="G41">
            <v>56.194600081536919</v>
          </cell>
          <cell r="H41">
            <v>60.908065516947481</v>
          </cell>
          <cell r="I41">
            <v>99.391809668024521</v>
          </cell>
          <cell r="J41">
            <v>282.97995041059664</v>
          </cell>
          <cell r="K41">
            <v>96.398587092252825</v>
          </cell>
        </row>
        <row r="42">
          <cell r="B42">
            <v>5.6655872942788834</v>
          </cell>
          <cell r="C42">
            <v>0</v>
          </cell>
          <cell r="D42">
            <v>2.6020181714898848E-2</v>
          </cell>
          <cell r="E42">
            <v>35.156102360878876</v>
          </cell>
          <cell r="F42">
            <v>117.71602318013053</v>
          </cell>
          <cell r="G42">
            <v>51.280529445524692</v>
          </cell>
          <cell r="H42">
            <v>319.68996349568573</v>
          </cell>
          <cell r="I42">
            <v>0.37269287718561073</v>
          </cell>
          <cell r="J42">
            <v>42.262234279330123</v>
          </cell>
          <cell r="K42">
            <v>18.311355000487286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120.03917266349613</v>
          </cell>
          <cell r="G44">
            <v>235.5996113827882</v>
          </cell>
          <cell r="H44">
            <v>755.79779557565416</v>
          </cell>
          <cell r="I44">
            <v>0</v>
          </cell>
          <cell r="J44">
            <v>129.23074927347994</v>
          </cell>
          <cell r="K44">
            <v>0</v>
          </cell>
        </row>
        <row r="45">
          <cell r="B45">
            <v>20.210253743916308</v>
          </cell>
          <cell r="C45">
            <v>0</v>
          </cell>
          <cell r="D45">
            <v>9.2819057867477531E-2</v>
          </cell>
          <cell r="E45">
            <v>125.40866682575609</v>
          </cell>
          <cell r="F45">
            <v>419.91599010354344</v>
          </cell>
          <cell r="G45">
            <v>182.92763986938763</v>
          </cell>
          <cell r="H45">
            <v>1140.396387176929</v>
          </cell>
          <cell r="I45">
            <v>1.3294681072300261</v>
          </cell>
          <cell r="J45">
            <v>150.75762391528272</v>
          </cell>
          <cell r="K45">
            <v>65.320171013600486</v>
          </cell>
        </row>
        <row r="46">
          <cell r="G46">
            <v>0</v>
          </cell>
        </row>
      </sheetData>
      <sheetData sheetId="11">
        <row r="13">
          <cell r="H13">
            <v>744</v>
          </cell>
          <cell r="I13">
            <v>8.493150684931508E-2</v>
          </cell>
        </row>
        <row r="21">
          <cell r="B21">
            <v>159.81162634408602</v>
          </cell>
          <cell r="C21">
            <v>276.44825268817209</v>
          </cell>
          <cell r="D21">
            <v>145.9</v>
          </cell>
          <cell r="E21">
            <v>345.66189516129032</v>
          </cell>
          <cell r="F21">
            <v>85.247311827956977</v>
          </cell>
          <cell r="G21">
            <v>1.5354166666666667</v>
          </cell>
          <cell r="H21">
            <v>2.7057123655913982</v>
          </cell>
          <cell r="I21">
            <v>0</v>
          </cell>
          <cell r="J21">
            <v>100.96639784946237</v>
          </cell>
          <cell r="K21">
            <v>230.15672043010753</v>
          </cell>
        </row>
        <row r="22">
          <cell r="B22">
            <v>33.653293010752684</v>
          </cell>
          <cell r="C22">
            <v>0</v>
          </cell>
          <cell r="D22">
            <v>2.4731182795698928E-2</v>
          </cell>
          <cell r="E22">
            <v>59.258266129032258</v>
          </cell>
          <cell r="F22">
            <v>163.15309139784947</v>
          </cell>
          <cell r="G22">
            <v>142.08736559139783</v>
          </cell>
          <cell r="H22">
            <v>821.03051075268809</v>
          </cell>
          <cell r="I22">
            <v>0</v>
          </cell>
          <cell r="J22">
            <v>111.58340053763442</v>
          </cell>
          <cell r="K22">
            <v>17.635483870967743</v>
          </cell>
        </row>
        <row r="24">
          <cell r="B24">
            <v>118.89985</v>
          </cell>
          <cell r="C24">
            <v>205.67750000000004</v>
          </cell>
          <cell r="D24">
            <v>108.54960000000001</v>
          </cell>
          <cell r="E24">
            <v>257.17245000000003</v>
          </cell>
          <cell r="F24">
            <v>63.423999999999992</v>
          </cell>
          <cell r="G24">
            <v>1.14235</v>
          </cell>
          <cell r="H24">
            <v>2.0130500000000002</v>
          </cell>
          <cell r="I24">
            <v>0</v>
          </cell>
          <cell r="J24">
            <v>75.119</v>
          </cell>
          <cell r="K24">
            <v>171.23660000000001</v>
          </cell>
        </row>
        <row r="25">
          <cell r="B25">
            <v>25.038049999999998</v>
          </cell>
          <cell r="C25">
            <v>0</v>
          </cell>
          <cell r="D25">
            <v>1.8400000000000003E-2</v>
          </cell>
          <cell r="E25">
            <v>44.088149999999999</v>
          </cell>
          <cell r="F25">
            <v>121.38589999999999</v>
          </cell>
          <cell r="G25">
            <v>105.71299999999998</v>
          </cell>
          <cell r="H25">
            <v>610.84669999999994</v>
          </cell>
          <cell r="I25">
            <v>0</v>
          </cell>
          <cell r="J25">
            <v>83.018050000000002</v>
          </cell>
          <cell r="K25">
            <v>13.120800000000001</v>
          </cell>
        </row>
        <row r="27">
          <cell r="B27">
            <v>1.8915891379205059</v>
          </cell>
          <cell r="C27">
            <v>2.1199831866035321</v>
          </cell>
          <cell r="D27">
            <v>2.0638968017770951</v>
          </cell>
          <cell r="E27">
            <v>1.7688313228322239</v>
          </cell>
          <cell r="F27">
            <v>0.68563162178831416</v>
          </cell>
          <cell r="G27">
            <v>5.9663408548136176E-2</v>
          </cell>
          <cell r="H27">
            <v>0.13729764494574648</v>
          </cell>
          <cell r="I27">
            <v>0</v>
          </cell>
          <cell r="J27">
            <v>0.72374304229270792</v>
          </cell>
          <cell r="K27">
            <v>3.1069797893948605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0.18084633000398509</v>
          </cell>
          <cell r="F28">
            <v>0.47719594691801376</v>
          </cell>
          <cell r="G28">
            <v>0.82842047897234639</v>
          </cell>
          <cell r="H28">
            <v>1.0339370175214839</v>
          </cell>
          <cell r="I28">
            <v>0</v>
          </cell>
          <cell r="J28">
            <v>1.0897204038052426</v>
          </cell>
          <cell r="K28">
            <v>3.3038627918268101E-2</v>
          </cell>
        </row>
        <row r="30">
          <cell r="B30">
            <v>0.4083698714114079</v>
          </cell>
        </row>
        <row r="31">
          <cell r="B31">
            <v>0.30391787244853202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0.49059941580166866</v>
          </cell>
          <cell r="G33">
            <v>1.5877237916974472</v>
          </cell>
          <cell r="H33">
            <v>1.6279357411246238</v>
          </cell>
          <cell r="I33">
            <v>0</v>
          </cell>
          <cell r="J33">
            <v>1.0403782273850875</v>
          </cell>
          <cell r="K33">
            <v>0</v>
          </cell>
        </row>
        <row r="34">
          <cell r="I34">
            <v>1.0486898555758473</v>
          </cell>
        </row>
        <row r="38">
          <cell r="B38">
            <v>224.23121497166403</v>
          </cell>
          <cell r="C38">
            <v>434.09925778766285</v>
          </cell>
          <cell r="D38">
            <v>224.035172274183</v>
          </cell>
          <cell r="E38">
            <v>453.26343400748766</v>
          </cell>
          <cell r="F38">
            <v>61.398861371875356</v>
          </cell>
          <cell r="G38">
            <v>0.29741015893074924</v>
          </cell>
          <cell r="H38">
            <v>0.51832432754336843</v>
          </cell>
          <cell r="I38">
            <v>0</v>
          </cell>
          <cell r="J38">
            <v>83.837006905499607</v>
          </cell>
          <cell r="K38">
            <v>524.14821442214668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7.8195885705716259</v>
          </cell>
          <cell r="F39">
            <v>59.122235020082066</v>
          </cell>
          <cell r="G39">
            <v>86.995622215532634</v>
          </cell>
          <cell r="H39">
            <v>623.6716425151443</v>
          </cell>
          <cell r="I39">
            <v>0</v>
          </cell>
          <cell r="J39">
            <v>81.593841448203662</v>
          </cell>
          <cell r="K39">
            <v>0.43802575631999785</v>
          </cell>
        </row>
        <row r="41">
          <cell r="B41">
            <v>120.13016507309386</v>
          </cell>
          <cell r="C41">
            <v>175.06408017535648</v>
          </cell>
          <cell r="D41">
            <v>62.476506627231288</v>
          </cell>
          <cell r="E41">
            <v>167.00694261240938</v>
          </cell>
          <cell r="F41">
            <v>310.60964475217827</v>
          </cell>
          <cell r="G41">
            <v>60.030371097476973</v>
          </cell>
          <cell r="H41">
            <v>65.065571611979635</v>
          </cell>
          <cell r="I41">
            <v>106.17616656696606</v>
          </cell>
          <cell r="J41">
            <v>302.29579731229472</v>
          </cell>
          <cell r="K41">
            <v>102.97863047381472</v>
          </cell>
        </row>
        <row r="42">
          <cell r="B42">
            <v>6.052312985006119</v>
          </cell>
          <cell r="C42">
            <v>0</v>
          </cell>
          <cell r="D42">
            <v>2.7796285801531442E-2</v>
          </cell>
          <cell r="E42">
            <v>37.55581262260538</v>
          </cell>
          <cell r="F42">
            <v>125.75116728954519</v>
          </cell>
          <cell r="G42">
            <v>54.780872329783961</v>
          </cell>
          <cell r="H42">
            <v>341.51158860351489</v>
          </cell>
          <cell r="I42">
            <v>0.39813241290757712</v>
          </cell>
          <cell r="J42">
            <v>45.14699995222945</v>
          </cell>
          <cell r="K42">
            <v>19.56126450552058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61.051214129933228</v>
          </cell>
          <cell r="G44">
            <v>166.8946493343395</v>
          </cell>
          <cell r="H44">
            <v>978.34055081134056</v>
          </cell>
          <cell r="I44">
            <v>0</v>
          </cell>
          <cell r="J44">
            <v>75.736492249652471</v>
          </cell>
          <cell r="K44">
            <v>0</v>
          </cell>
        </row>
        <row r="45">
          <cell r="B45">
            <v>20.883928868713518</v>
          </cell>
          <cell r="C45">
            <v>0</v>
          </cell>
          <cell r="D45">
            <v>9.5913026463060103E-2</v>
          </cell>
          <cell r="E45">
            <v>129.58895571994793</v>
          </cell>
          <cell r="F45">
            <v>433.91318977366154</v>
          </cell>
          <cell r="G45">
            <v>189.02522786503383</v>
          </cell>
          <cell r="H45">
            <v>1178.4096000828267</v>
          </cell>
          <cell r="I45">
            <v>1.37378371080436</v>
          </cell>
          <cell r="J45">
            <v>155.7828780457921</v>
          </cell>
          <cell r="K45">
            <v>67.497510047387166</v>
          </cell>
        </row>
        <row r="46">
          <cell r="G46">
            <v>0</v>
          </cell>
        </row>
      </sheetData>
      <sheetData sheetId="12">
        <row r="13">
          <cell r="H13">
            <v>720</v>
          </cell>
          <cell r="I13">
            <v>8.2191780821917804E-2</v>
          </cell>
        </row>
        <row r="21">
          <cell r="B21">
            <v>160.2501388888889</v>
          </cell>
          <cell r="C21">
            <v>277.06194444444452</v>
          </cell>
          <cell r="D21">
            <v>145.9</v>
          </cell>
          <cell r="E21">
            <v>345.85944444444448</v>
          </cell>
          <cell r="F21">
            <v>85.22208333333333</v>
          </cell>
          <cell r="G21">
            <v>1.5354166666666667</v>
          </cell>
          <cell r="H21">
            <v>2.7340277777777779</v>
          </cell>
          <cell r="I21">
            <v>0</v>
          </cell>
          <cell r="J21">
            <v>104.06930555555554</v>
          </cell>
          <cell r="K21">
            <v>231.92333333333335</v>
          </cell>
        </row>
        <row r="22">
          <cell r="B22">
            <v>33.707500000000003</v>
          </cell>
          <cell r="C22">
            <v>0</v>
          </cell>
          <cell r="D22">
            <v>2.4583333333333339E-2</v>
          </cell>
          <cell r="E22">
            <v>59.657499999999999</v>
          </cell>
          <cell r="F22">
            <v>163.88916666666665</v>
          </cell>
          <cell r="G22">
            <v>142.76777777777775</v>
          </cell>
          <cell r="H22">
            <v>824.84027777777794</v>
          </cell>
          <cell r="I22">
            <v>0</v>
          </cell>
          <cell r="J22">
            <v>111.93916666666664</v>
          </cell>
          <cell r="K22">
            <v>17.709444444444447</v>
          </cell>
        </row>
        <row r="24">
          <cell r="B24">
            <v>115.3801</v>
          </cell>
          <cell r="C24">
            <v>199.48460000000003</v>
          </cell>
          <cell r="D24">
            <v>105.048</v>
          </cell>
          <cell r="E24">
            <v>249.01880000000003</v>
          </cell>
          <cell r="F24">
            <v>61.359899999999996</v>
          </cell>
          <cell r="G24">
            <v>1.1054999999999999</v>
          </cell>
          <cell r="H24">
            <v>1.9685000000000001</v>
          </cell>
          <cell r="I24">
            <v>0</v>
          </cell>
          <cell r="J24">
            <v>74.929899999999989</v>
          </cell>
          <cell r="K24">
            <v>166.98480000000001</v>
          </cell>
        </row>
        <row r="25">
          <cell r="B25">
            <v>24.269400000000001</v>
          </cell>
          <cell r="C25">
            <v>0</v>
          </cell>
          <cell r="D25">
            <v>1.7700000000000004E-2</v>
          </cell>
          <cell r="E25">
            <v>42.953400000000002</v>
          </cell>
          <cell r="F25">
            <v>118.00019999999999</v>
          </cell>
          <cell r="G25">
            <v>102.79279999999997</v>
          </cell>
          <cell r="H25">
            <v>593.8850000000001</v>
          </cell>
          <cell r="I25">
            <v>0</v>
          </cell>
          <cell r="J25">
            <v>80.596199999999982</v>
          </cell>
          <cell r="K25">
            <v>12.750800000000002</v>
          </cell>
        </row>
        <row r="27">
          <cell r="B27">
            <v>1.8843391031572667</v>
          </cell>
          <cell r="C27">
            <v>2.1122217847143827</v>
          </cell>
          <cell r="D27">
            <v>2.0505127102799219</v>
          </cell>
          <cell r="E27">
            <v>1.7615488040255938</v>
          </cell>
          <cell r="F27">
            <v>0.68311188789053423</v>
          </cell>
          <cell r="G27">
            <v>5.7328576448437613E-2</v>
          </cell>
          <cell r="H27">
            <v>0.1394372096709475</v>
          </cell>
          <cell r="I27">
            <v>0</v>
          </cell>
          <cell r="J27">
            <v>0.74786781036913141</v>
          </cell>
          <cell r="K27">
            <v>3.0831487334575418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0.1820169051794473</v>
          </cell>
          <cell r="F28">
            <v>0.47743304860723962</v>
          </cell>
          <cell r="G28">
            <v>0.8264722110219288</v>
          </cell>
          <cell r="H28">
            <v>1.0317872622576647</v>
          </cell>
          <cell r="I28">
            <v>0</v>
          </cell>
          <cell r="J28">
            <v>1.0617169388379362</v>
          </cell>
          <cell r="K28">
            <v>3.2737658736214745E-2</v>
          </cell>
        </row>
        <row r="30">
          <cell r="B30">
            <v>0.39410863713429878</v>
          </cell>
        </row>
        <row r="31">
          <cell r="B31">
            <v>0.29411407011148261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0.49113852697255322</v>
          </cell>
          <cell r="G33">
            <v>1.584744698716523</v>
          </cell>
          <cell r="H33">
            <v>1.624215570697775</v>
          </cell>
          <cell r="I33">
            <v>0</v>
          </cell>
          <cell r="J33">
            <v>1.0025239299102895</v>
          </cell>
          <cell r="K33">
            <v>0</v>
          </cell>
        </row>
        <row r="34">
          <cell r="I34">
            <v>1.0148611505572716</v>
          </cell>
        </row>
        <row r="38">
          <cell r="B38">
            <v>216.87545903888039</v>
          </cell>
          <cell r="C38">
            <v>419.59385118846922</v>
          </cell>
          <cell r="D38">
            <v>215.40225918948528</v>
          </cell>
          <cell r="E38">
            <v>437.05478389173351</v>
          </cell>
          <cell r="F38">
            <v>59.167063180565222</v>
          </cell>
          <cell r="G38">
            <v>0.27655305278726305</v>
          </cell>
          <cell r="H38">
            <v>0.50411160684328782</v>
          </cell>
          <cell r="I38">
            <v>0</v>
          </cell>
          <cell r="J38">
            <v>83.837006905499592</v>
          </cell>
          <cell r="K38">
            <v>508.41365022992323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7.6552976804099941</v>
          </cell>
          <cell r="F39">
            <v>57.457696663189431</v>
          </cell>
          <cell r="G39">
            <v>84.412208610593993</v>
          </cell>
          <cell r="H39">
            <v>605.04220105120589</v>
          </cell>
          <cell r="I39">
            <v>0</v>
          </cell>
          <cell r="J39">
            <v>76.920870504627572</v>
          </cell>
          <cell r="K39">
            <v>0.42232761176762817</v>
          </cell>
        </row>
        <row r="41">
          <cell r="B41">
            <v>115.93493778579666</v>
          </cell>
          <cell r="C41">
            <v>168.95043165310253</v>
          </cell>
          <cell r="D41">
            <v>60.294680395176371</v>
          </cell>
          <cell r="E41">
            <v>161.17466824244283</v>
          </cell>
          <cell r="F41">
            <v>303.68380795439464</v>
          </cell>
          <cell r="G41">
            <v>57.933969658741923</v>
          </cell>
          <cell r="H41">
            <v>62.793329154607818</v>
          </cell>
          <cell r="I41">
            <v>102.46824565491769</v>
          </cell>
          <cell r="J41">
            <v>291.73891863866464</v>
          </cell>
          <cell r="K41">
            <v>99.38237502615614</v>
          </cell>
        </row>
        <row r="42">
          <cell r="B42">
            <v>5.8570770822639853</v>
          </cell>
          <cell r="C42">
            <v>0</v>
          </cell>
          <cell r="D42">
            <v>2.6899631420836879E-2</v>
          </cell>
          <cell r="E42">
            <v>36.344334796069717</v>
          </cell>
          <cell r="F42">
            <v>121.69467802214047</v>
          </cell>
          <cell r="G42">
            <v>53.013747415919951</v>
          </cell>
          <cell r="H42">
            <v>330.49508574533695</v>
          </cell>
          <cell r="I42">
            <v>0.38528943184604225</v>
          </cell>
          <cell r="J42">
            <v>43.690645115060747</v>
          </cell>
          <cell r="K42">
            <v>18.930255973084432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59.348539579522715</v>
          </cell>
          <cell r="G44">
            <v>161.99847078046383</v>
          </cell>
          <cell r="H44">
            <v>948.85216591078449</v>
          </cell>
          <cell r="I44">
            <v>0</v>
          </cell>
          <cell r="J44">
            <v>70.468152624647374</v>
          </cell>
          <cell r="K44">
            <v>0</v>
          </cell>
        </row>
        <row r="45">
          <cell r="B45">
            <v>20.210253743916311</v>
          </cell>
          <cell r="C45">
            <v>0</v>
          </cell>
          <cell r="D45">
            <v>9.2819057867477531E-2</v>
          </cell>
          <cell r="E45">
            <v>125.40866682575606</v>
          </cell>
          <cell r="F45">
            <v>419.91599010354344</v>
          </cell>
          <cell r="G45">
            <v>182.92763986938758</v>
          </cell>
          <cell r="H45">
            <v>1140.3963871769288</v>
          </cell>
          <cell r="I45">
            <v>1.3294681072300256</v>
          </cell>
          <cell r="J45">
            <v>150.75762391528269</v>
          </cell>
          <cell r="K45">
            <v>65.320171013600486</v>
          </cell>
        </row>
        <row r="46">
          <cell r="G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Nod"/>
      <sheetName val="Ram"/>
      <sheetName val="%USO"/>
      <sheetName val="Dias"/>
      <sheetName val="ENERGIA"/>
      <sheetName val="ENERGIA (Cargos)"/>
    </sheetNames>
    <sheetDataSet>
      <sheetData sheetId="0"/>
      <sheetData sheetId="1"/>
      <sheetData sheetId="2">
        <row r="2">
          <cell r="C2">
            <v>230</v>
          </cell>
          <cell r="F2" t="str">
            <v>S</v>
          </cell>
          <cell r="G2">
            <v>12.94</v>
          </cell>
        </row>
        <row r="3">
          <cell r="C3">
            <v>230</v>
          </cell>
          <cell r="F3" t="str">
            <v>S</v>
          </cell>
          <cell r="G3">
            <v>12.94</v>
          </cell>
        </row>
        <row r="4">
          <cell r="C4">
            <v>230</v>
          </cell>
          <cell r="F4" t="str">
            <v>S</v>
          </cell>
          <cell r="G4">
            <v>40.299999999999997</v>
          </cell>
        </row>
        <row r="5">
          <cell r="C5">
            <v>230</v>
          </cell>
          <cell r="F5" t="str">
            <v>SD</v>
          </cell>
          <cell r="G5">
            <v>37.5</v>
          </cell>
        </row>
        <row r="6">
          <cell r="C6">
            <v>230</v>
          </cell>
          <cell r="F6" t="str">
            <v>SD</v>
          </cell>
          <cell r="G6">
            <v>37.5</v>
          </cell>
        </row>
        <row r="7">
          <cell r="C7">
            <v>230</v>
          </cell>
          <cell r="F7" t="str">
            <v>S</v>
          </cell>
          <cell r="G7">
            <v>40.299999999999997</v>
          </cell>
        </row>
        <row r="8">
          <cell r="C8" t="str">
            <v>TX</v>
          </cell>
          <cell r="F8" t="str">
            <v>S</v>
          </cell>
        </row>
        <row r="9">
          <cell r="C9" t="str">
            <v>TX</v>
          </cell>
          <cell r="F9" t="str">
            <v>S</v>
          </cell>
        </row>
        <row r="10">
          <cell r="C10" t="str">
            <v>TX</v>
          </cell>
          <cell r="F10" t="str">
            <v>S</v>
          </cell>
        </row>
        <row r="11">
          <cell r="C11" t="str">
            <v>TX</v>
          </cell>
          <cell r="F11" t="str">
            <v>S</v>
          </cell>
        </row>
        <row r="12">
          <cell r="C12">
            <v>115</v>
          </cell>
          <cell r="F12" t="str">
            <v>S</v>
          </cell>
          <cell r="G12">
            <v>0.8</v>
          </cell>
        </row>
        <row r="13">
          <cell r="C13">
            <v>115</v>
          </cell>
          <cell r="F13" t="str">
            <v>S</v>
          </cell>
          <cell r="G13">
            <v>0.8</v>
          </cell>
        </row>
        <row r="14">
          <cell r="C14">
            <v>115</v>
          </cell>
          <cell r="F14" t="str">
            <v>S</v>
          </cell>
          <cell r="G14">
            <v>22.5</v>
          </cell>
        </row>
        <row r="15">
          <cell r="C15">
            <v>115</v>
          </cell>
          <cell r="F15" t="str">
            <v>S</v>
          </cell>
          <cell r="G15">
            <v>40.700000000000003</v>
          </cell>
        </row>
        <row r="16">
          <cell r="C16" t="str">
            <v>TX</v>
          </cell>
          <cell r="F16" t="str">
            <v>S</v>
          </cell>
        </row>
        <row r="17">
          <cell r="C17" t="str">
            <v>TX</v>
          </cell>
          <cell r="F17" t="str">
            <v>S</v>
          </cell>
        </row>
        <row r="18">
          <cell r="C18" t="str">
            <v>TX</v>
          </cell>
          <cell r="F18" t="str">
            <v>S</v>
          </cell>
        </row>
        <row r="19">
          <cell r="C19" t="str">
            <v>TX</v>
          </cell>
          <cell r="F19" t="str">
            <v>S</v>
          </cell>
        </row>
        <row r="20">
          <cell r="C20">
            <v>230</v>
          </cell>
          <cell r="F20" t="str">
            <v>S</v>
          </cell>
          <cell r="G20">
            <v>19</v>
          </cell>
        </row>
        <row r="21">
          <cell r="C21">
            <v>230</v>
          </cell>
          <cell r="F21" t="str">
            <v>S</v>
          </cell>
          <cell r="G21">
            <v>150.33000000000001</v>
          </cell>
        </row>
        <row r="22">
          <cell r="C22">
            <v>230</v>
          </cell>
          <cell r="F22" t="str">
            <v>S</v>
          </cell>
          <cell r="G22">
            <v>9.1</v>
          </cell>
        </row>
        <row r="23">
          <cell r="C23">
            <v>230</v>
          </cell>
          <cell r="F23" t="str">
            <v>S</v>
          </cell>
          <cell r="G23">
            <v>35.340000000000003</v>
          </cell>
        </row>
        <row r="24">
          <cell r="C24" t="str">
            <v>TX</v>
          </cell>
          <cell r="F24" t="str">
            <v>S</v>
          </cell>
        </row>
        <row r="25">
          <cell r="C25" t="str">
            <v>TX</v>
          </cell>
          <cell r="F25" t="str">
            <v>S</v>
          </cell>
        </row>
        <row r="26">
          <cell r="C26" t="str">
            <v>TX</v>
          </cell>
          <cell r="F26" t="str">
            <v>S</v>
          </cell>
        </row>
        <row r="27">
          <cell r="C27" t="str">
            <v>TX</v>
          </cell>
          <cell r="F27" t="str">
            <v>S</v>
          </cell>
        </row>
        <row r="28">
          <cell r="C28" t="str">
            <v>TX</v>
          </cell>
          <cell r="F28" t="str">
            <v>S</v>
          </cell>
        </row>
        <row r="29">
          <cell r="C29" t="str">
            <v>TX</v>
          </cell>
          <cell r="F29" t="str">
            <v>S</v>
          </cell>
        </row>
        <row r="30">
          <cell r="C30">
            <v>230</v>
          </cell>
          <cell r="F30" t="str">
            <v>S</v>
          </cell>
          <cell r="G30">
            <v>60.5</v>
          </cell>
        </row>
        <row r="31">
          <cell r="C31">
            <v>230</v>
          </cell>
          <cell r="F31" t="str">
            <v>S</v>
          </cell>
          <cell r="G31">
            <v>60.5</v>
          </cell>
        </row>
        <row r="32">
          <cell r="C32">
            <v>230</v>
          </cell>
          <cell r="F32" t="str">
            <v>SD</v>
          </cell>
          <cell r="G32">
            <v>154.94</v>
          </cell>
        </row>
        <row r="33">
          <cell r="C33">
            <v>230</v>
          </cell>
          <cell r="F33" t="str">
            <v>SD</v>
          </cell>
          <cell r="G33">
            <v>154.94</v>
          </cell>
        </row>
        <row r="34">
          <cell r="C34">
            <v>230</v>
          </cell>
          <cell r="F34" t="str">
            <v>SD</v>
          </cell>
          <cell r="G34">
            <v>110.21</v>
          </cell>
        </row>
        <row r="35">
          <cell r="C35">
            <v>230</v>
          </cell>
          <cell r="F35" t="str">
            <v>SD</v>
          </cell>
          <cell r="G35">
            <v>110.21</v>
          </cell>
        </row>
        <row r="36">
          <cell r="C36">
            <v>230</v>
          </cell>
          <cell r="F36" t="str">
            <v>S</v>
          </cell>
          <cell r="G36">
            <v>109.36</v>
          </cell>
        </row>
        <row r="37">
          <cell r="C37">
            <v>230</v>
          </cell>
          <cell r="F37" t="str">
            <v>S</v>
          </cell>
          <cell r="G37">
            <v>81.55</v>
          </cell>
        </row>
        <row r="38">
          <cell r="C38">
            <v>230</v>
          </cell>
          <cell r="F38" t="str">
            <v>S</v>
          </cell>
          <cell r="G38">
            <v>81.55</v>
          </cell>
        </row>
        <row r="39">
          <cell r="C39">
            <v>230</v>
          </cell>
          <cell r="F39" t="str">
            <v>S</v>
          </cell>
          <cell r="G39">
            <v>44.67</v>
          </cell>
        </row>
        <row r="40">
          <cell r="C40">
            <v>230</v>
          </cell>
          <cell r="F40" t="str">
            <v>S</v>
          </cell>
          <cell r="G40">
            <v>44.67</v>
          </cell>
        </row>
        <row r="41">
          <cell r="C41">
            <v>230</v>
          </cell>
          <cell r="F41" t="str">
            <v>S</v>
          </cell>
          <cell r="G41">
            <v>67.7</v>
          </cell>
        </row>
        <row r="42">
          <cell r="C42">
            <v>230</v>
          </cell>
          <cell r="F42" t="str">
            <v>S</v>
          </cell>
          <cell r="G42">
            <v>67.7</v>
          </cell>
        </row>
        <row r="43">
          <cell r="C43">
            <v>230</v>
          </cell>
          <cell r="F43" t="str">
            <v>S</v>
          </cell>
          <cell r="G43">
            <v>103.36</v>
          </cell>
        </row>
        <row r="44">
          <cell r="C44" t="str">
            <v>TX</v>
          </cell>
          <cell r="F44" t="str">
            <v>S</v>
          </cell>
        </row>
        <row r="45">
          <cell r="C45" t="str">
            <v>TX</v>
          </cell>
          <cell r="F45" t="str">
            <v>S</v>
          </cell>
        </row>
        <row r="46">
          <cell r="C46" t="str">
            <v>TX</v>
          </cell>
          <cell r="F46" t="str">
            <v>S</v>
          </cell>
        </row>
        <row r="47">
          <cell r="C47" t="str">
            <v>TX</v>
          </cell>
          <cell r="F47" t="str">
            <v>S</v>
          </cell>
        </row>
        <row r="48">
          <cell r="C48" t="str">
            <v>TX</v>
          </cell>
          <cell r="F48" t="str">
            <v>S</v>
          </cell>
        </row>
        <row r="49">
          <cell r="C49" t="str">
            <v>TX</v>
          </cell>
          <cell r="F49" t="str">
            <v>S</v>
          </cell>
        </row>
        <row r="50">
          <cell r="C50" t="str">
            <v>TX</v>
          </cell>
          <cell r="F50" t="str">
            <v>S</v>
          </cell>
        </row>
        <row r="51">
          <cell r="C51" t="str">
            <v>TX</v>
          </cell>
          <cell r="F51" t="str">
            <v>S</v>
          </cell>
        </row>
        <row r="52">
          <cell r="C52">
            <v>230</v>
          </cell>
          <cell r="F52" t="str">
            <v>S</v>
          </cell>
          <cell r="G52">
            <v>37.5</v>
          </cell>
        </row>
        <row r="53">
          <cell r="C53">
            <v>230</v>
          </cell>
          <cell r="F53" t="str">
            <v>S</v>
          </cell>
          <cell r="G53">
            <v>37.5</v>
          </cell>
        </row>
        <row r="54">
          <cell r="C54">
            <v>230</v>
          </cell>
          <cell r="F54" t="str">
            <v>S</v>
          </cell>
          <cell r="G54">
            <v>84.49</v>
          </cell>
        </row>
        <row r="55">
          <cell r="C55">
            <v>230</v>
          </cell>
          <cell r="F55" t="str">
            <v>S</v>
          </cell>
          <cell r="G55">
            <v>84.49</v>
          </cell>
        </row>
        <row r="56">
          <cell r="C56">
            <v>230</v>
          </cell>
          <cell r="F56" t="str">
            <v>S</v>
          </cell>
          <cell r="G56">
            <v>24.33</v>
          </cell>
        </row>
        <row r="57">
          <cell r="C57" t="str">
            <v>TX</v>
          </cell>
          <cell r="F57" t="str">
            <v>S</v>
          </cell>
        </row>
        <row r="58">
          <cell r="C58" t="str">
            <v>TX</v>
          </cell>
          <cell r="F58" t="str">
            <v>S</v>
          </cell>
        </row>
        <row r="59">
          <cell r="C59" t="str">
            <v>TX</v>
          </cell>
          <cell r="F59" t="str">
            <v>S</v>
          </cell>
        </row>
        <row r="60">
          <cell r="C60">
            <v>115</v>
          </cell>
          <cell r="F60" t="str">
            <v>S</v>
          </cell>
          <cell r="G60">
            <v>25</v>
          </cell>
        </row>
        <row r="61">
          <cell r="C61">
            <v>115</v>
          </cell>
          <cell r="F61" t="str">
            <v>S</v>
          </cell>
          <cell r="G61">
            <v>25</v>
          </cell>
        </row>
        <row r="62">
          <cell r="C62" t="str">
            <v>TX</v>
          </cell>
          <cell r="F62" t="str">
            <v>S</v>
          </cell>
        </row>
        <row r="63">
          <cell r="C63" t="str">
            <v>TX</v>
          </cell>
          <cell r="F63" t="str">
            <v>S</v>
          </cell>
        </row>
        <row r="64">
          <cell r="C64" t="str">
            <v>TX</v>
          </cell>
          <cell r="F64" t="str">
            <v>S</v>
          </cell>
        </row>
        <row r="65">
          <cell r="C65" t="str">
            <v>TX</v>
          </cell>
          <cell r="F65" t="str">
            <v>S</v>
          </cell>
        </row>
        <row r="66">
          <cell r="C66" t="str">
            <v>TX</v>
          </cell>
          <cell r="F66" t="str">
            <v>S</v>
          </cell>
        </row>
        <row r="67">
          <cell r="C67" t="str">
            <v>TX</v>
          </cell>
          <cell r="F67" t="str">
            <v>S</v>
          </cell>
        </row>
        <row r="68">
          <cell r="C68">
            <v>230</v>
          </cell>
          <cell r="F68" t="str">
            <v>S</v>
          </cell>
          <cell r="G68">
            <v>29.75</v>
          </cell>
        </row>
        <row r="69">
          <cell r="C69">
            <v>115</v>
          </cell>
          <cell r="F69" t="str">
            <v>S</v>
          </cell>
          <cell r="G69">
            <v>46.6</v>
          </cell>
        </row>
        <row r="70">
          <cell r="C70">
            <v>115</v>
          </cell>
          <cell r="F70" t="str">
            <v>S</v>
          </cell>
          <cell r="G70">
            <v>46.6</v>
          </cell>
        </row>
        <row r="71">
          <cell r="C71">
            <v>115</v>
          </cell>
          <cell r="F71" t="str">
            <v>S</v>
          </cell>
          <cell r="G71">
            <v>31.5</v>
          </cell>
        </row>
        <row r="72">
          <cell r="C72">
            <v>115</v>
          </cell>
          <cell r="F72" t="str">
            <v>S</v>
          </cell>
          <cell r="G72">
            <v>6.2</v>
          </cell>
        </row>
        <row r="73">
          <cell r="C73">
            <v>115</v>
          </cell>
          <cell r="F73" t="str">
            <v>S</v>
          </cell>
          <cell r="G73">
            <v>0.8</v>
          </cell>
        </row>
        <row r="74">
          <cell r="C74">
            <v>115</v>
          </cell>
          <cell r="F74" t="str">
            <v>S</v>
          </cell>
          <cell r="G74">
            <v>16.7</v>
          </cell>
        </row>
        <row r="75">
          <cell r="C75">
            <v>230</v>
          </cell>
          <cell r="F75" t="str">
            <v>S</v>
          </cell>
          <cell r="G75">
            <v>16</v>
          </cell>
        </row>
        <row r="76">
          <cell r="C76">
            <v>230</v>
          </cell>
          <cell r="F76" t="str">
            <v>S</v>
          </cell>
          <cell r="G76">
            <v>96.87</v>
          </cell>
        </row>
        <row r="77">
          <cell r="C77">
            <v>230</v>
          </cell>
          <cell r="F77" t="str">
            <v>S</v>
          </cell>
          <cell r="G77">
            <v>49.14</v>
          </cell>
        </row>
        <row r="78">
          <cell r="C78">
            <v>230</v>
          </cell>
          <cell r="F78" t="str">
            <v>S</v>
          </cell>
          <cell r="G78">
            <v>57</v>
          </cell>
        </row>
        <row r="79">
          <cell r="C79">
            <v>115</v>
          </cell>
          <cell r="F79" t="str">
            <v>S</v>
          </cell>
          <cell r="G79">
            <v>6.2</v>
          </cell>
        </row>
        <row r="80">
          <cell r="C80">
            <v>230</v>
          </cell>
          <cell r="F80" t="str">
            <v>S</v>
          </cell>
          <cell r="G80">
            <v>84.3</v>
          </cell>
        </row>
        <row r="81">
          <cell r="C81">
            <v>230</v>
          </cell>
          <cell r="F81" t="str">
            <v>S</v>
          </cell>
          <cell r="G81">
            <v>84.3</v>
          </cell>
        </row>
        <row r="82">
          <cell r="C82">
            <v>230</v>
          </cell>
          <cell r="F82" t="str">
            <v>S</v>
          </cell>
          <cell r="G82">
            <v>42.3</v>
          </cell>
        </row>
        <row r="83">
          <cell r="C83">
            <v>230</v>
          </cell>
          <cell r="F83" t="str">
            <v>S</v>
          </cell>
          <cell r="G83">
            <v>42.3</v>
          </cell>
        </row>
        <row r="84">
          <cell r="C84">
            <v>230</v>
          </cell>
          <cell r="F84" t="str">
            <v>S</v>
          </cell>
          <cell r="G84">
            <v>6</v>
          </cell>
        </row>
        <row r="85">
          <cell r="C85">
            <v>230</v>
          </cell>
          <cell r="F85" t="str">
            <v>S</v>
          </cell>
          <cell r="G85">
            <v>1.4</v>
          </cell>
        </row>
        <row r="86">
          <cell r="C86">
            <v>230</v>
          </cell>
          <cell r="F86" t="str">
            <v>S</v>
          </cell>
          <cell r="G86">
            <v>24.88</v>
          </cell>
        </row>
        <row r="87">
          <cell r="C87">
            <v>230</v>
          </cell>
          <cell r="F87" t="str">
            <v>S</v>
          </cell>
          <cell r="G87">
            <v>76.650000000000006</v>
          </cell>
        </row>
        <row r="88">
          <cell r="C88" t="str">
            <v>TX</v>
          </cell>
          <cell r="F88" t="str">
            <v>S</v>
          </cell>
        </row>
        <row r="89">
          <cell r="C89" t="str">
            <v>TX</v>
          </cell>
          <cell r="F89" t="str">
            <v>S</v>
          </cell>
        </row>
        <row r="90">
          <cell r="C90" t="str">
            <v>TX</v>
          </cell>
          <cell r="F90" t="str">
            <v>S</v>
          </cell>
        </row>
        <row r="91">
          <cell r="C91">
            <v>230</v>
          </cell>
          <cell r="F91" t="str">
            <v>S</v>
          </cell>
          <cell r="G91">
            <v>44</v>
          </cell>
        </row>
        <row r="92">
          <cell r="C92">
            <v>230</v>
          </cell>
          <cell r="F92" t="str">
            <v>S</v>
          </cell>
          <cell r="G92">
            <v>114.98</v>
          </cell>
        </row>
        <row r="93">
          <cell r="C93">
            <v>230</v>
          </cell>
          <cell r="F93" t="str">
            <v>N</v>
          </cell>
          <cell r="G93">
            <v>48.55</v>
          </cell>
        </row>
        <row r="94">
          <cell r="C94">
            <v>230</v>
          </cell>
          <cell r="F94" t="str">
            <v>N</v>
          </cell>
          <cell r="G94">
            <v>48.55</v>
          </cell>
        </row>
      </sheetData>
      <sheetData sheetId="3"/>
      <sheetData sheetId="4"/>
      <sheetData sheetId="5">
        <row r="2">
          <cell r="L2">
            <v>4803.3277344140997</v>
          </cell>
        </row>
      </sheetData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Nod"/>
      <sheetName val="Ram"/>
      <sheetName val="%USO"/>
      <sheetName val="Dias"/>
      <sheetName val="ENERGIA"/>
      <sheetName val="ENERGIA (Cargos)"/>
      <sheetName val="1. DatosFijos"/>
    </sheetNames>
    <sheetDataSet>
      <sheetData sheetId="0"/>
      <sheetData sheetId="1" refreshError="1">
        <row r="2">
          <cell r="A2">
            <v>6001</v>
          </cell>
        </row>
        <row r="3">
          <cell r="A3">
            <v>6002</v>
          </cell>
          <cell r="B3">
            <v>115</v>
          </cell>
          <cell r="C3" t="str">
            <v>Panamá 115</v>
          </cell>
          <cell r="D3" t="str">
            <v>PAN115</v>
          </cell>
          <cell r="E3">
            <v>7</v>
          </cell>
        </row>
        <row r="4">
          <cell r="A4">
            <v>6003</v>
          </cell>
          <cell r="B4">
            <v>230</v>
          </cell>
          <cell r="C4" t="str">
            <v>Panamá II 230</v>
          </cell>
          <cell r="D4" t="str">
            <v>PANII230</v>
          </cell>
          <cell r="E4">
            <v>7</v>
          </cell>
        </row>
        <row r="5">
          <cell r="A5">
            <v>6004</v>
          </cell>
          <cell r="B5">
            <v>115</v>
          </cell>
          <cell r="C5" t="str">
            <v>Panamá II 115</v>
          </cell>
          <cell r="D5" t="str">
            <v>PANII115</v>
          </cell>
          <cell r="E5">
            <v>7</v>
          </cell>
        </row>
        <row r="6">
          <cell r="A6">
            <v>6005</v>
          </cell>
          <cell r="B6">
            <v>230</v>
          </cell>
          <cell r="C6" t="str">
            <v>Chorrera 230</v>
          </cell>
          <cell r="D6" t="str">
            <v>CHO230</v>
          </cell>
          <cell r="E6">
            <v>6</v>
          </cell>
        </row>
        <row r="7">
          <cell r="A7">
            <v>6008</v>
          </cell>
          <cell r="B7">
            <v>230</v>
          </cell>
          <cell r="C7" t="str">
            <v>Llano Sánchez 230</v>
          </cell>
          <cell r="D7" t="str">
            <v>LSA230</v>
          </cell>
          <cell r="E7">
            <v>5</v>
          </cell>
        </row>
        <row r="8">
          <cell r="A8">
            <v>6009</v>
          </cell>
          <cell r="B8">
            <v>115</v>
          </cell>
          <cell r="C8" t="str">
            <v>Llano Sánchez 115</v>
          </cell>
          <cell r="D8" t="str">
            <v>LSA115</v>
          </cell>
          <cell r="E8">
            <v>5</v>
          </cell>
        </row>
        <row r="9">
          <cell r="A9">
            <v>6010</v>
          </cell>
          <cell r="B9">
            <v>34.5</v>
          </cell>
          <cell r="C9" t="str">
            <v>Llano Sánchez 34.5</v>
          </cell>
          <cell r="D9" t="str">
            <v>LSA34</v>
          </cell>
          <cell r="E9">
            <v>5</v>
          </cell>
        </row>
        <row r="10">
          <cell r="A10">
            <v>6011</v>
          </cell>
          <cell r="B10">
            <v>230</v>
          </cell>
          <cell r="C10" t="str">
            <v>Mata de Nance 230</v>
          </cell>
          <cell r="D10" t="str">
            <v>MDN230</v>
          </cell>
          <cell r="E10">
            <v>4</v>
          </cell>
        </row>
        <row r="11">
          <cell r="A11">
            <v>6012</v>
          </cell>
          <cell r="B11">
            <v>115</v>
          </cell>
          <cell r="C11" t="str">
            <v>Mata de Nance 115</v>
          </cell>
          <cell r="D11" t="str">
            <v>MDN115</v>
          </cell>
          <cell r="E11">
            <v>4</v>
          </cell>
        </row>
        <row r="12">
          <cell r="A12">
            <v>6013</v>
          </cell>
          <cell r="B12">
            <v>34.5</v>
          </cell>
          <cell r="C12" t="str">
            <v>Mata de Nance 34.5</v>
          </cell>
          <cell r="D12" t="str">
            <v>MDN34</v>
          </cell>
          <cell r="E12">
            <v>4</v>
          </cell>
        </row>
        <row r="13">
          <cell r="A13">
            <v>6014</v>
          </cell>
          <cell r="B13">
            <v>230</v>
          </cell>
          <cell r="C13" t="str">
            <v>Progreso 230</v>
          </cell>
          <cell r="D13" t="str">
            <v>PRO230</v>
          </cell>
          <cell r="E13">
            <v>1</v>
          </cell>
        </row>
        <row r="14">
          <cell r="A14">
            <v>6018</v>
          </cell>
          <cell r="B14">
            <v>115</v>
          </cell>
          <cell r="C14" t="str">
            <v>Cáceres</v>
          </cell>
          <cell r="D14" t="str">
            <v>CAC115</v>
          </cell>
          <cell r="E14">
            <v>7</v>
          </cell>
        </row>
        <row r="15">
          <cell r="A15">
            <v>6024</v>
          </cell>
          <cell r="B15">
            <v>115</v>
          </cell>
          <cell r="C15" t="str">
            <v>Chilibre</v>
          </cell>
          <cell r="D15" t="str">
            <v>CHI115</v>
          </cell>
          <cell r="E15">
            <v>7</v>
          </cell>
        </row>
        <row r="16">
          <cell r="A16">
            <v>6059</v>
          </cell>
          <cell r="B16">
            <v>115</v>
          </cell>
          <cell r="C16" t="str">
            <v>Las Minas 1</v>
          </cell>
          <cell r="D16" t="str">
            <v>LM1115</v>
          </cell>
          <cell r="E16">
            <v>9</v>
          </cell>
        </row>
        <row r="17">
          <cell r="A17">
            <v>6060</v>
          </cell>
          <cell r="B17">
            <v>115</v>
          </cell>
          <cell r="C17" t="str">
            <v>Las Minas 2</v>
          </cell>
          <cell r="D17" t="str">
            <v>LM2115</v>
          </cell>
          <cell r="E17">
            <v>9</v>
          </cell>
        </row>
        <row r="18">
          <cell r="A18">
            <v>6087</v>
          </cell>
          <cell r="B18">
            <v>115</v>
          </cell>
          <cell r="C18" t="str">
            <v>Caldera</v>
          </cell>
          <cell r="D18" t="str">
            <v>CAL115</v>
          </cell>
          <cell r="E18">
            <v>3</v>
          </cell>
        </row>
        <row r="19">
          <cell r="A19">
            <v>6096</v>
          </cell>
          <cell r="B19">
            <v>230</v>
          </cell>
          <cell r="C19" t="str">
            <v>Fortuna</v>
          </cell>
          <cell r="D19" t="str">
            <v>FOR230</v>
          </cell>
          <cell r="E19">
            <v>2</v>
          </cell>
        </row>
        <row r="20">
          <cell r="A20">
            <v>6100</v>
          </cell>
          <cell r="B20">
            <v>230</v>
          </cell>
          <cell r="C20" t="str">
            <v>Bayano</v>
          </cell>
          <cell r="D20" t="str">
            <v>BAY230</v>
          </cell>
          <cell r="E20">
            <v>8</v>
          </cell>
        </row>
        <row r="21">
          <cell r="A21">
            <v>6170</v>
          </cell>
          <cell r="B21">
            <v>115</v>
          </cell>
          <cell r="C21" t="str">
            <v>Cemento Panamá</v>
          </cell>
          <cell r="D21" t="str">
            <v>CPA115</v>
          </cell>
          <cell r="E21">
            <v>9</v>
          </cell>
        </row>
        <row r="22">
          <cell r="A22">
            <v>6171</v>
          </cell>
          <cell r="B22">
            <v>230</v>
          </cell>
          <cell r="C22" t="str">
            <v>Pacora</v>
          </cell>
          <cell r="D22" t="str">
            <v>PAC230</v>
          </cell>
          <cell r="E22">
            <v>7</v>
          </cell>
        </row>
        <row r="23">
          <cell r="A23">
            <v>6173</v>
          </cell>
          <cell r="B23">
            <v>115</v>
          </cell>
          <cell r="C23" t="str">
            <v>Santa Rita</v>
          </cell>
          <cell r="D23" t="str">
            <v>STR115</v>
          </cell>
          <cell r="E23">
            <v>9</v>
          </cell>
        </row>
        <row r="24">
          <cell r="A24">
            <v>6179</v>
          </cell>
          <cell r="B24">
            <v>230</v>
          </cell>
          <cell r="C24" t="str">
            <v>Guasquitas</v>
          </cell>
          <cell r="D24" t="str">
            <v>GUA230</v>
          </cell>
          <cell r="E24">
            <v>2</v>
          </cell>
        </row>
        <row r="25">
          <cell r="A25">
            <v>6182</v>
          </cell>
          <cell r="B25">
            <v>230</v>
          </cell>
          <cell r="C25" t="str">
            <v>Veladero</v>
          </cell>
          <cell r="D25" t="str">
            <v>VEL230</v>
          </cell>
          <cell r="E25">
            <v>4</v>
          </cell>
        </row>
        <row r="26">
          <cell r="A26">
            <v>6240</v>
          </cell>
          <cell r="B26">
            <v>230</v>
          </cell>
          <cell r="C26" t="str">
            <v>El Higo</v>
          </cell>
          <cell r="D26" t="str">
            <v>EHIG230</v>
          </cell>
          <cell r="E26">
            <v>6</v>
          </cell>
        </row>
        <row r="27">
          <cell r="A27">
            <v>6243</v>
          </cell>
          <cell r="B27">
            <v>230</v>
          </cell>
          <cell r="C27" t="str">
            <v>Vista Hermosa</v>
          </cell>
          <cell r="D27" t="str">
            <v>VHE230</v>
          </cell>
          <cell r="E27">
            <v>7</v>
          </cell>
        </row>
        <row r="28">
          <cell r="A28">
            <v>6260</v>
          </cell>
          <cell r="B28">
            <v>230</v>
          </cell>
          <cell r="C28" t="str">
            <v>Changuinola</v>
          </cell>
          <cell r="D28" t="str">
            <v>CHA230</v>
          </cell>
          <cell r="E28">
            <v>10</v>
          </cell>
        </row>
        <row r="29">
          <cell r="A29">
            <v>6261</v>
          </cell>
          <cell r="B29">
            <v>115</v>
          </cell>
          <cell r="C29" t="str">
            <v>Changuinola 115</v>
          </cell>
          <cell r="D29" t="str">
            <v>CHA115</v>
          </cell>
          <cell r="E29">
            <v>10</v>
          </cell>
        </row>
        <row r="30">
          <cell r="A30">
            <v>6262</v>
          </cell>
          <cell r="B30">
            <v>34.5</v>
          </cell>
          <cell r="C30" t="str">
            <v>Changuinola 34.5</v>
          </cell>
          <cell r="D30" t="str">
            <v>CHA34</v>
          </cell>
          <cell r="E30">
            <v>10</v>
          </cell>
        </row>
        <row r="31">
          <cell r="A31">
            <v>6263</v>
          </cell>
          <cell r="B31">
            <v>230</v>
          </cell>
          <cell r="C31" t="str">
            <v>La Esperanza</v>
          </cell>
          <cell r="D31" t="str">
            <v>ESP230</v>
          </cell>
          <cell r="E31">
            <v>10</v>
          </cell>
        </row>
        <row r="32">
          <cell r="A32">
            <v>6290</v>
          </cell>
          <cell r="B32">
            <v>115</v>
          </cell>
          <cell r="C32" t="str">
            <v>Cativá II</v>
          </cell>
          <cell r="D32" t="str">
            <v>CATII115</v>
          </cell>
          <cell r="E32">
            <v>9</v>
          </cell>
        </row>
        <row r="33">
          <cell r="A33">
            <v>6340</v>
          </cell>
          <cell r="B33">
            <v>230</v>
          </cell>
          <cell r="C33" t="str">
            <v>Cañazas</v>
          </cell>
          <cell r="D33" t="str">
            <v>CAN230</v>
          </cell>
          <cell r="E33">
            <v>10</v>
          </cell>
        </row>
        <row r="34">
          <cell r="A34">
            <v>6380</v>
          </cell>
          <cell r="B34">
            <v>230</v>
          </cell>
          <cell r="C34" t="str">
            <v>Boquerón III</v>
          </cell>
          <cell r="D34" t="str">
            <v>BOQIII230</v>
          </cell>
          <cell r="E34">
            <v>4</v>
          </cell>
        </row>
        <row r="35">
          <cell r="A35">
            <v>6460</v>
          </cell>
          <cell r="B35">
            <v>230</v>
          </cell>
          <cell r="C35" t="str">
            <v>El Coco</v>
          </cell>
          <cell r="D35" t="str">
            <v>ECO230</v>
          </cell>
          <cell r="E35">
            <v>5</v>
          </cell>
        </row>
        <row r="36">
          <cell r="A36">
            <v>6470</v>
          </cell>
          <cell r="B36">
            <v>230</v>
          </cell>
          <cell r="C36" t="str">
            <v>24 de Diciembre</v>
          </cell>
          <cell r="D36" t="str">
            <v>24DIC230</v>
          </cell>
          <cell r="E36">
            <v>7</v>
          </cell>
        </row>
        <row r="37">
          <cell r="A37">
            <v>6520</v>
          </cell>
          <cell r="B37">
            <v>230</v>
          </cell>
          <cell r="C37" t="str">
            <v>San Bartolo</v>
          </cell>
          <cell r="D37" t="str">
            <v>SBA34</v>
          </cell>
          <cell r="E37">
            <v>4</v>
          </cell>
        </row>
        <row r="38">
          <cell r="A38">
            <v>6550</v>
          </cell>
          <cell r="B38">
            <v>230</v>
          </cell>
          <cell r="C38" t="str">
            <v>Bella Vista</v>
          </cell>
          <cell r="D38" t="str">
            <v>BEV230</v>
          </cell>
          <cell r="E38">
            <v>4</v>
          </cell>
        </row>
        <row r="39">
          <cell r="A39">
            <v>6713</v>
          </cell>
          <cell r="B39">
            <v>230</v>
          </cell>
          <cell r="C39" t="str">
            <v>Burunga</v>
          </cell>
          <cell r="D39" t="str">
            <v>BUR230</v>
          </cell>
          <cell r="E39">
            <v>6</v>
          </cell>
        </row>
        <row r="40">
          <cell r="A40">
            <v>6801</v>
          </cell>
          <cell r="B40">
            <v>230</v>
          </cell>
          <cell r="C40" t="str">
            <v>Costa Norte</v>
          </cell>
          <cell r="D40" t="str">
            <v>CNO230</v>
          </cell>
          <cell r="E40">
            <v>9</v>
          </cell>
        </row>
        <row r="41">
          <cell r="A41">
            <v>7000</v>
          </cell>
          <cell r="B41">
            <v>230</v>
          </cell>
          <cell r="C41" t="str">
            <v>T1-Panama</v>
          </cell>
          <cell r="D41" t="str">
            <v>T1-PAN</v>
          </cell>
          <cell r="E41">
            <v>7</v>
          </cell>
        </row>
        <row r="42">
          <cell r="A42">
            <v>7001</v>
          </cell>
          <cell r="C42" t="str">
            <v>T2-Panama</v>
          </cell>
          <cell r="D42" t="str">
            <v>T2-PAN</v>
          </cell>
          <cell r="E42">
            <v>7</v>
          </cell>
        </row>
        <row r="43">
          <cell r="A43">
            <v>7002</v>
          </cell>
          <cell r="C43" t="str">
            <v>T3-Panama</v>
          </cell>
          <cell r="D43" t="str">
            <v>T3-PAN</v>
          </cell>
          <cell r="E43">
            <v>7</v>
          </cell>
        </row>
        <row r="44">
          <cell r="A44">
            <v>7003</v>
          </cell>
          <cell r="C44" t="str">
            <v>T5-Panama</v>
          </cell>
          <cell r="D44" t="str">
            <v>T5-PAN</v>
          </cell>
          <cell r="E44">
            <v>7</v>
          </cell>
        </row>
        <row r="45">
          <cell r="A45">
            <v>7004</v>
          </cell>
          <cell r="C45" t="str">
            <v>T1-PanamaII</v>
          </cell>
          <cell r="D45" t="str">
            <v>T1-PANII</v>
          </cell>
          <cell r="E45">
            <v>7</v>
          </cell>
        </row>
        <row r="46">
          <cell r="A46">
            <v>7005</v>
          </cell>
          <cell r="C46" t="str">
            <v>T2-PanamaII</v>
          </cell>
          <cell r="D46" t="str">
            <v>T2-PANII</v>
          </cell>
          <cell r="E46">
            <v>7</v>
          </cell>
        </row>
        <row r="47">
          <cell r="A47">
            <v>7006</v>
          </cell>
          <cell r="C47" t="str">
            <v>T3-PanamaII</v>
          </cell>
          <cell r="D47" t="str">
            <v>T3-PANII</v>
          </cell>
          <cell r="E47">
            <v>7</v>
          </cell>
        </row>
        <row r="48">
          <cell r="A48">
            <v>7007</v>
          </cell>
          <cell r="C48" t="str">
            <v>T1-Chorrera</v>
          </cell>
          <cell r="D48" t="str">
            <v>T1-CHO</v>
          </cell>
          <cell r="E48">
            <v>6</v>
          </cell>
        </row>
        <row r="49">
          <cell r="A49">
            <v>7008</v>
          </cell>
          <cell r="C49" t="str">
            <v>T2-Chorrera</v>
          </cell>
          <cell r="D49" t="str">
            <v>T2-CHO</v>
          </cell>
          <cell r="E49">
            <v>6</v>
          </cell>
        </row>
        <row r="50">
          <cell r="A50">
            <v>7009</v>
          </cell>
          <cell r="C50" t="str">
            <v>T3-Chorrera</v>
          </cell>
          <cell r="D50" t="str">
            <v>T3-CHO</v>
          </cell>
          <cell r="E50">
            <v>6</v>
          </cell>
        </row>
        <row r="51">
          <cell r="A51">
            <v>7010</v>
          </cell>
          <cell r="C51" t="str">
            <v>T1-Llano Sanchez</v>
          </cell>
          <cell r="D51" t="str">
            <v>T1-LSA</v>
          </cell>
          <cell r="E51">
            <v>5</v>
          </cell>
        </row>
        <row r="52">
          <cell r="A52">
            <v>7011</v>
          </cell>
          <cell r="C52" t="str">
            <v>T2-Llano Sanchez</v>
          </cell>
          <cell r="D52" t="str">
            <v>T2-LSA</v>
          </cell>
          <cell r="E52">
            <v>5</v>
          </cell>
        </row>
        <row r="53">
          <cell r="A53">
            <v>7012</v>
          </cell>
          <cell r="C53" t="str">
            <v>T3-Llano Sanchez</v>
          </cell>
          <cell r="D53" t="str">
            <v>T3-LSA</v>
          </cell>
          <cell r="E53">
            <v>5</v>
          </cell>
        </row>
        <row r="54">
          <cell r="A54">
            <v>7013</v>
          </cell>
          <cell r="C54" t="str">
            <v>T1-Mata de Nance</v>
          </cell>
          <cell r="D54" t="str">
            <v>T1-MDN</v>
          </cell>
          <cell r="E54">
            <v>4</v>
          </cell>
        </row>
        <row r="55">
          <cell r="A55">
            <v>7014</v>
          </cell>
          <cell r="C55" t="str">
            <v>T2-Mata de Nance</v>
          </cell>
          <cell r="D55" t="str">
            <v>T2-MDN</v>
          </cell>
          <cell r="E55">
            <v>4</v>
          </cell>
        </row>
        <row r="56">
          <cell r="A56">
            <v>7015</v>
          </cell>
          <cell r="C56" t="str">
            <v>T3-Mata de Nance</v>
          </cell>
          <cell r="D56" t="str">
            <v>T3-MDN</v>
          </cell>
          <cell r="E56">
            <v>5</v>
          </cell>
        </row>
        <row r="57">
          <cell r="A57">
            <v>7016</v>
          </cell>
          <cell r="C57" t="str">
            <v>T1-Changuinola</v>
          </cell>
          <cell r="D57" t="str">
            <v>T1-CHA</v>
          </cell>
          <cell r="E57">
            <v>10</v>
          </cell>
        </row>
        <row r="58">
          <cell r="A58">
            <v>7016</v>
          </cell>
          <cell r="C58" t="str">
            <v>T1-Changuinola</v>
          </cell>
          <cell r="D58" t="str">
            <v>T1-CHA</v>
          </cell>
          <cell r="E58">
            <v>10</v>
          </cell>
        </row>
      </sheetData>
      <sheetData sheetId="2">
        <row r="2">
          <cell r="A2">
            <v>6001</v>
          </cell>
        </row>
      </sheetData>
      <sheetData sheetId="3"/>
      <sheetData sheetId="4"/>
      <sheetData sheetId="5" refreshError="1"/>
      <sheetData sheetId="6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l21"/>
      <sheetName val="ago21"/>
      <sheetName val="sep21"/>
      <sheetName val="oct21"/>
      <sheetName val="nov21"/>
      <sheetName val="dic21"/>
      <sheetName val="ene22"/>
      <sheetName val="feb22"/>
      <sheetName val="mar22"/>
      <sheetName val="abr22"/>
      <sheetName val="may22"/>
      <sheetName val="jun22"/>
      <sheetName val="Resumen"/>
      <sheetName val="Resumen Modelo"/>
      <sheetName val="Grandes Clie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9">
          <cell r="G9">
            <v>14.47</v>
          </cell>
          <cell r="H9">
            <v>16.75</v>
          </cell>
          <cell r="I9">
            <v>17.5</v>
          </cell>
          <cell r="J9">
            <v>15.41</v>
          </cell>
          <cell r="K9">
            <v>14.94</v>
          </cell>
          <cell r="L9">
            <v>22.37</v>
          </cell>
          <cell r="M9">
            <v>16.68</v>
          </cell>
          <cell r="N9">
            <v>16.38</v>
          </cell>
          <cell r="O9">
            <v>18.62</v>
          </cell>
          <cell r="P9">
            <v>16.329999999999998</v>
          </cell>
          <cell r="Q9">
            <v>15.68</v>
          </cell>
          <cell r="R9">
            <v>14.3</v>
          </cell>
        </row>
        <row r="10">
          <cell r="G10">
            <v>0.54</v>
          </cell>
          <cell r="H10">
            <v>0.95</v>
          </cell>
          <cell r="I10">
            <v>0.88</v>
          </cell>
          <cell r="J10">
            <v>1</v>
          </cell>
          <cell r="K10">
            <v>0.92</v>
          </cell>
          <cell r="L10">
            <v>0.62</v>
          </cell>
          <cell r="M10">
            <v>0.68</v>
          </cell>
          <cell r="N10">
            <v>0.84</v>
          </cell>
          <cell r="O10">
            <v>0.86</v>
          </cell>
          <cell r="P10">
            <v>0.59</v>
          </cell>
          <cell r="Q10">
            <v>0.63</v>
          </cell>
          <cell r="R10">
            <v>0.6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</row>
        <row r="14">
          <cell r="H14">
            <v>0.1</v>
          </cell>
          <cell r="I14">
            <v>0.09</v>
          </cell>
          <cell r="J14">
            <v>0.1</v>
          </cell>
          <cell r="K14">
            <v>0.06</v>
          </cell>
          <cell r="L14">
            <v>0.06</v>
          </cell>
          <cell r="M14">
            <v>0.09</v>
          </cell>
          <cell r="N14">
            <v>0.1</v>
          </cell>
          <cell r="O14">
            <v>0.06</v>
          </cell>
          <cell r="P14">
            <v>0.1</v>
          </cell>
          <cell r="Q14">
            <v>0.09</v>
          </cell>
          <cell r="R14">
            <v>0.09</v>
          </cell>
        </row>
        <row r="16">
          <cell r="G16">
            <v>0.06</v>
          </cell>
          <cell r="H16">
            <v>0.1</v>
          </cell>
          <cell r="I16">
            <v>0.09</v>
          </cell>
          <cell r="J16">
            <v>0.1</v>
          </cell>
          <cell r="K16">
            <v>0.06</v>
          </cell>
          <cell r="L16">
            <v>0.06</v>
          </cell>
          <cell r="M16">
            <v>0.09</v>
          </cell>
          <cell r="N16">
            <v>0.1</v>
          </cell>
          <cell r="O16">
            <v>0.06</v>
          </cell>
          <cell r="P16">
            <v>0.1</v>
          </cell>
          <cell r="Q16">
            <v>0.09</v>
          </cell>
          <cell r="R16">
            <v>0.09</v>
          </cell>
        </row>
        <row r="17"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</row>
        <row r="18">
          <cell r="H18">
            <v>115.74</v>
          </cell>
          <cell r="I18">
            <v>111.65</v>
          </cell>
          <cell r="J18">
            <v>114.88</v>
          </cell>
          <cell r="K18">
            <v>112.52</v>
          </cell>
          <cell r="L18">
            <v>107.92</v>
          </cell>
          <cell r="M18">
            <v>101.83</v>
          </cell>
          <cell r="N18">
            <v>103.17</v>
          </cell>
          <cell r="O18">
            <v>122.86</v>
          </cell>
          <cell r="P18">
            <v>121.6</v>
          </cell>
          <cell r="Q18">
            <v>112.16</v>
          </cell>
          <cell r="R18">
            <v>103.78</v>
          </cell>
        </row>
        <row r="19"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G21">
            <v>106.53</v>
          </cell>
          <cell r="H21">
            <v>115.74</v>
          </cell>
          <cell r="I21">
            <v>111.65</v>
          </cell>
          <cell r="J21">
            <v>114.88</v>
          </cell>
          <cell r="K21">
            <v>112.52</v>
          </cell>
          <cell r="L21">
            <v>107.92</v>
          </cell>
          <cell r="M21">
            <v>101.83</v>
          </cell>
          <cell r="N21">
            <v>103.17</v>
          </cell>
          <cell r="O21">
            <v>122.86</v>
          </cell>
          <cell r="P21">
            <v>121.6</v>
          </cell>
          <cell r="Q21">
            <v>112.16</v>
          </cell>
          <cell r="R21">
            <v>103.78</v>
          </cell>
        </row>
        <row r="22"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</row>
        <row r="23">
          <cell r="H23">
            <v>417.63</v>
          </cell>
          <cell r="I23">
            <v>368.07</v>
          </cell>
          <cell r="J23">
            <v>313.58000000000004</v>
          </cell>
          <cell r="K23">
            <v>431.88</v>
          </cell>
          <cell r="L23">
            <v>562.75</v>
          </cell>
          <cell r="M23">
            <v>444.62</v>
          </cell>
          <cell r="N23">
            <v>445.64</v>
          </cell>
          <cell r="O23">
            <v>506.90999999999997</v>
          </cell>
          <cell r="P23">
            <v>466.95</v>
          </cell>
          <cell r="Q23">
            <v>360.34</v>
          </cell>
          <cell r="R23">
            <v>383.80999999999995</v>
          </cell>
        </row>
        <row r="24"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</row>
        <row r="25">
          <cell r="G25">
            <v>254.52</v>
          </cell>
          <cell r="H25">
            <v>251.24</v>
          </cell>
          <cell r="I25">
            <v>208.62</v>
          </cell>
          <cell r="J25">
            <v>238.6</v>
          </cell>
          <cell r="K25">
            <v>260.77</v>
          </cell>
          <cell r="L25">
            <v>289.83</v>
          </cell>
          <cell r="M25">
            <v>261.27999999999997</v>
          </cell>
          <cell r="N25">
            <v>269.32</v>
          </cell>
          <cell r="O25">
            <v>275.69</v>
          </cell>
          <cell r="P25">
            <v>293.06</v>
          </cell>
          <cell r="Q25">
            <v>267.05</v>
          </cell>
          <cell r="R25">
            <v>247.46</v>
          </cell>
        </row>
        <row r="27">
          <cell r="G27">
            <v>0.82000000000000006</v>
          </cell>
          <cell r="H27">
            <v>0.8</v>
          </cell>
          <cell r="I27">
            <v>0.76</v>
          </cell>
          <cell r="J27">
            <v>0.74</v>
          </cell>
          <cell r="K27">
            <v>0.8</v>
          </cell>
          <cell r="L27">
            <v>0.83000000000000007</v>
          </cell>
          <cell r="M27">
            <v>0.79</v>
          </cell>
          <cell r="N27">
            <v>0.8</v>
          </cell>
          <cell r="O27">
            <v>0.81</v>
          </cell>
          <cell r="P27">
            <v>0.83000000000000007</v>
          </cell>
          <cell r="Q27">
            <v>0.76</v>
          </cell>
          <cell r="R27">
            <v>0.7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G29">
            <v>0.74</v>
          </cell>
          <cell r="H29">
            <v>0.74</v>
          </cell>
          <cell r="I29">
            <v>0.69</v>
          </cell>
          <cell r="J29">
            <v>0.68</v>
          </cell>
          <cell r="K29">
            <v>0.66</v>
          </cell>
          <cell r="L29">
            <v>0.79</v>
          </cell>
          <cell r="M29">
            <v>0.78</v>
          </cell>
          <cell r="N29">
            <v>0.78</v>
          </cell>
          <cell r="O29">
            <v>0.77</v>
          </cell>
          <cell r="P29">
            <v>1.37</v>
          </cell>
          <cell r="Q29">
            <v>0.71</v>
          </cell>
          <cell r="R29">
            <v>0.76</v>
          </cell>
        </row>
        <row r="31">
          <cell r="G31">
            <v>187.22</v>
          </cell>
          <cell r="H31">
            <v>164.85</v>
          </cell>
          <cell r="I31">
            <v>158</v>
          </cell>
          <cell r="J31">
            <v>73.56</v>
          </cell>
          <cell r="K31">
            <v>169.65</v>
          </cell>
          <cell r="L31">
            <v>271.3</v>
          </cell>
          <cell r="M31">
            <v>181.77</v>
          </cell>
          <cell r="N31">
            <v>174.74</v>
          </cell>
          <cell r="O31">
            <v>229.64</v>
          </cell>
          <cell r="P31">
            <v>171.69</v>
          </cell>
          <cell r="Q31">
            <v>91.82</v>
          </cell>
          <cell r="R31">
            <v>134.88999999999999</v>
          </cell>
        </row>
        <row r="33">
          <cell r="G33">
            <v>169.91</v>
          </cell>
          <cell r="H33">
            <v>171.82</v>
          </cell>
          <cell r="I33">
            <v>168.95999999999998</v>
          </cell>
          <cell r="J33">
            <v>164.78</v>
          </cell>
          <cell r="K33">
            <v>163.92999999999998</v>
          </cell>
          <cell r="L33">
            <v>172.06</v>
          </cell>
          <cell r="M33">
            <v>158.99</v>
          </cell>
          <cell r="N33">
            <v>166.59</v>
          </cell>
          <cell r="O33">
            <v>165.61</v>
          </cell>
          <cell r="P33">
            <v>174.70999999999998</v>
          </cell>
          <cell r="Q33">
            <v>183.22000000000003</v>
          </cell>
          <cell r="R33">
            <v>166.1</v>
          </cell>
        </row>
        <row r="35">
          <cell r="G35">
            <v>167.57</v>
          </cell>
          <cell r="H35">
            <v>169.48</v>
          </cell>
          <cell r="I35">
            <v>166.6</v>
          </cell>
          <cell r="J35">
            <v>162.41999999999999</v>
          </cell>
          <cell r="K35">
            <v>161.57</v>
          </cell>
          <cell r="L35">
            <v>169.74</v>
          </cell>
          <cell r="M35">
            <v>156.68</v>
          </cell>
          <cell r="N35">
            <v>164.28</v>
          </cell>
          <cell r="O35">
            <v>163.30000000000001</v>
          </cell>
          <cell r="P35">
            <v>172.39</v>
          </cell>
          <cell r="Q35">
            <v>180.9</v>
          </cell>
          <cell r="R35">
            <v>163.80000000000001</v>
          </cell>
        </row>
        <row r="36"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</row>
        <row r="37">
          <cell r="G37">
            <v>0.23</v>
          </cell>
          <cell r="H37">
            <v>0.22</v>
          </cell>
          <cell r="I37">
            <v>0.23</v>
          </cell>
          <cell r="J37">
            <v>0.24</v>
          </cell>
          <cell r="K37">
            <v>0.23</v>
          </cell>
          <cell r="L37">
            <v>0.22</v>
          </cell>
          <cell r="M37">
            <v>0.21</v>
          </cell>
          <cell r="N37">
            <v>0.21</v>
          </cell>
          <cell r="O37">
            <v>0.22</v>
          </cell>
          <cell r="P37">
            <v>0.22</v>
          </cell>
          <cell r="Q37">
            <v>0.24</v>
          </cell>
          <cell r="R37">
            <v>0.23</v>
          </cell>
        </row>
        <row r="38">
          <cell r="G38">
            <v>2.11</v>
          </cell>
          <cell r="H38">
            <v>2.12</v>
          </cell>
          <cell r="I38">
            <v>2.13</v>
          </cell>
          <cell r="J38">
            <v>2.12</v>
          </cell>
          <cell r="K38">
            <v>2.13</v>
          </cell>
          <cell r="L38">
            <v>2.1</v>
          </cell>
          <cell r="M38">
            <v>2.1</v>
          </cell>
          <cell r="N38">
            <v>2.1</v>
          </cell>
          <cell r="O38">
            <v>2.09</v>
          </cell>
          <cell r="P38">
            <v>2.1</v>
          </cell>
          <cell r="Q38">
            <v>2.08</v>
          </cell>
          <cell r="R38">
            <v>2.0699999999999998</v>
          </cell>
        </row>
        <row r="40">
          <cell r="H40">
            <v>959.91906199999983</v>
          </cell>
          <cell r="I40">
            <v>994.09</v>
          </cell>
          <cell r="J40">
            <v>959.99000000000012</v>
          </cell>
          <cell r="K40">
            <v>945.60316999999986</v>
          </cell>
          <cell r="L40">
            <v>983.06346300000007</v>
          </cell>
          <cell r="M40">
            <v>936.54365600000006</v>
          </cell>
          <cell r="N40">
            <v>988.36840299999994</v>
          </cell>
          <cell r="O40">
            <v>990.61628500000006</v>
          </cell>
          <cell r="P40">
            <v>1014.5791169999999</v>
          </cell>
          <cell r="Q40">
            <v>1006.6427959999999</v>
          </cell>
          <cell r="R40">
            <v>971.30811699999992</v>
          </cell>
        </row>
        <row r="42">
          <cell r="G42">
            <v>156.68</v>
          </cell>
          <cell r="H42">
            <v>197.59</v>
          </cell>
          <cell r="I42">
            <v>220.1</v>
          </cell>
          <cell r="J42">
            <v>214.22</v>
          </cell>
          <cell r="K42">
            <v>201.61</v>
          </cell>
          <cell r="L42">
            <v>206.85</v>
          </cell>
          <cell r="M42">
            <v>196.97</v>
          </cell>
          <cell r="N42">
            <v>234.46</v>
          </cell>
          <cell r="O42">
            <v>201.8</v>
          </cell>
          <cell r="P42">
            <v>204.83</v>
          </cell>
          <cell r="Q42">
            <v>206.8</v>
          </cell>
          <cell r="R42">
            <v>192.96</v>
          </cell>
        </row>
        <row r="43">
          <cell r="G43">
            <v>225.18</v>
          </cell>
          <cell r="H43">
            <v>270.56</v>
          </cell>
          <cell r="I43">
            <v>269.77</v>
          </cell>
          <cell r="J43">
            <v>259.47000000000003</v>
          </cell>
          <cell r="K43">
            <v>262.16000000000003</v>
          </cell>
          <cell r="L43">
            <v>275.49</v>
          </cell>
          <cell r="M43">
            <v>267.87</v>
          </cell>
          <cell r="N43">
            <v>270.51</v>
          </cell>
          <cell r="O43">
            <v>284.16000000000003</v>
          </cell>
          <cell r="P43">
            <v>308.05</v>
          </cell>
          <cell r="Q43">
            <v>289.77999999999997</v>
          </cell>
          <cell r="R43">
            <v>295.33</v>
          </cell>
        </row>
        <row r="44">
          <cell r="G44">
            <v>63.008277</v>
          </cell>
          <cell r="H44">
            <v>57.199061999999998</v>
          </cell>
          <cell r="I44">
            <v>67.400000000000006</v>
          </cell>
          <cell r="J44">
            <v>51.13</v>
          </cell>
          <cell r="K44">
            <v>55.45317</v>
          </cell>
          <cell r="L44">
            <v>51.683463000000003</v>
          </cell>
          <cell r="M44">
            <v>52.453655999999995</v>
          </cell>
          <cell r="N44">
            <v>53.318403000000004</v>
          </cell>
          <cell r="O44">
            <v>63.226284999999997</v>
          </cell>
          <cell r="P44">
            <v>55.339117000000002</v>
          </cell>
          <cell r="Q44">
            <v>54.922795999999998</v>
          </cell>
          <cell r="R44">
            <v>53.088116999999997</v>
          </cell>
        </row>
        <row r="47">
          <cell r="G47">
            <v>411.89</v>
          </cell>
          <cell r="H47">
            <v>409.8</v>
          </cell>
          <cell r="I47">
            <v>411.8</v>
          </cell>
          <cell r="J47">
            <v>410.14</v>
          </cell>
          <cell r="K47">
            <v>401.64</v>
          </cell>
          <cell r="L47">
            <v>411.4</v>
          </cell>
          <cell r="M47">
            <v>398.15</v>
          </cell>
          <cell r="N47">
            <v>409.06</v>
          </cell>
          <cell r="O47">
            <v>418.17</v>
          </cell>
          <cell r="P47">
            <v>424.91</v>
          </cell>
          <cell r="Q47">
            <v>433.52</v>
          </cell>
          <cell r="R47">
            <v>408.09</v>
          </cell>
        </row>
        <row r="48"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</row>
        <row r="49">
          <cell r="G49">
            <v>18.649999999999999</v>
          </cell>
          <cell r="H49">
            <v>15.14</v>
          </cell>
          <cell r="I49">
            <v>15.31</v>
          </cell>
          <cell r="J49">
            <v>15.36</v>
          </cell>
          <cell r="K49">
            <v>15.05</v>
          </cell>
          <cell r="L49">
            <v>27.89</v>
          </cell>
          <cell r="M49">
            <v>14.23</v>
          </cell>
          <cell r="N49">
            <v>14.11</v>
          </cell>
          <cell r="O49">
            <v>16.34</v>
          </cell>
          <cell r="P49">
            <v>14.51</v>
          </cell>
          <cell r="Q49">
            <v>14.52</v>
          </cell>
          <cell r="R49">
            <v>14.93</v>
          </cell>
        </row>
        <row r="50">
          <cell r="G50">
            <v>0.76</v>
          </cell>
          <cell r="H50">
            <v>0.76</v>
          </cell>
          <cell r="I50">
            <v>0.74</v>
          </cell>
          <cell r="J50">
            <v>0.75</v>
          </cell>
          <cell r="K50">
            <v>0.73</v>
          </cell>
          <cell r="L50">
            <v>0.74</v>
          </cell>
          <cell r="M50">
            <v>0.74</v>
          </cell>
          <cell r="N50">
            <v>0.74</v>
          </cell>
          <cell r="O50">
            <v>0.75</v>
          </cell>
          <cell r="P50">
            <v>0.76</v>
          </cell>
          <cell r="Q50">
            <v>0.81</v>
          </cell>
          <cell r="R50">
            <v>0.72</v>
          </cell>
        </row>
        <row r="51">
          <cell r="G51">
            <v>3.4299999999999997</v>
          </cell>
          <cell r="H51">
            <v>3.3100000000000005</v>
          </cell>
          <cell r="I51">
            <v>3.37</v>
          </cell>
          <cell r="J51">
            <v>3.3200000000000003</v>
          </cell>
          <cell r="K51">
            <v>3.2800000000000007</v>
          </cell>
          <cell r="L51">
            <v>3.38</v>
          </cell>
          <cell r="M51">
            <v>3.25</v>
          </cell>
          <cell r="N51">
            <v>3.2800000000000002</v>
          </cell>
          <cell r="O51">
            <v>3.27</v>
          </cell>
          <cell r="P51">
            <v>3.3100000000000005</v>
          </cell>
          <cell r="Q51">
            <v>3.2900000000000005</v>
          </cell>
          <cell r="R51">
            <v>3.2300000000000004</v>
          </cell>
        </row>
        <row r="52">
          <cell r="G52">
            <v>1.2</v>
          </cell>
          <cell r="H52">
            <v>1.1599999999999999</v>
          </cell>
          <cell r="I52">
            <v>1.19</v>
          </cell>
          <cell r="J52">
            <v>1.18</v>
          </cell>
          <cell r="K52">
            <v>1.17</v>
          </cell>
          <cell r="L52">
            <v>1.2</v>
          </cell>
          <cell r="M52">
            <v>1.2</v>
          </cell>
          <cell r="N52">
            <v>1.22</v>
          </cell>
          <cell r="O52">
            <v>1.22</v>
          </cell>
          <cell r="P52">
            <v>1.22</v>
          </cell>
          <cell r="Q52">
            <v>1.25</v>
          </cell>
          <cell r="R52">
            <v>1.24</v>
          </cell>
        </row>
        <row r="53">
          <cell r="G53">
            <v>0.15</v>
          </cell>
          <cell r="H53">
            <v>0.15</v>
          </cell>
          <cell r="I53">
            <v>0.15</v>
          </cell>
          <cell r="J53">
            <v>0.15</v>
          </cell>
          <cell r="K53">
            <v>0.17</v>
          </cell>
          <cell r="L53">
            <v>0.16</v>
          </cell>
          <cell r="M53">
            <v>0.16</v>
          </cell>
          <cell r="N53">
            <v>0.17</v>
          </cell>
          <cell r="O53">
            <v>0.16</v>
          </cell>
          <cell r="P53">
            <v>0.16</v>
          </cell>
          <cell r="Q53">
            <v>0.16</v>
          </cell>
          <cell r="R53">
            <v>0.15</v>
          </cell>
        </row>
        <row r="54">
          <cell r="G54">
            <v>1.18</v>
          </cell>
          <cell r="H54">
            <v>1.1599999999999999</v>
          </cell>
          <cell r="I54">
            <v>1.2</v>
          </cell>
          <cell r="J54">
            <v>1.2</v>
          </cell>
          <cell r="K54">
            <v>1.29</v>
          </cell>
          <cell r="L54">
            <v>1.21</v>
          </cell>
          <cell r="M54">
            <v>1.17</v>
          </cell>
          <cell r="N54">
            <v>1.18</v>
          </cell>
          <cell r="O54">
            <v>1.1599999999999999</v>
          </cell>
          <cell r="P54">
            <v>1.1599999999999999</v>
          </cell>
          <cell r="Q54">
            <v>1.25</v>
          </cell>
          <cell r="R54">
            <v>1.2</v>
          </cell>
        </row>
        <row r="55">
          <cell r="G55">
            <v>2.79</v>
          </cell>
          <cell r="H55">
            <v>2.75</v>
          </cell>
          <cell r="I55">
            <v>2.71</v>
          </cell>
          <cell r="J55">
            <v>2.71</v>
          </cell>
          <cell r="K55">
            <v>2.71</v>
          </cell>
          <cell r="L55">
            <v>2.72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G56">
            <v>0.33</v>
          </cell>
          <cell r="H56">
            <v>0.34</v>
          </cell>
          <cell r="I56">
            <v>0.35</v>
          </cell>
          <cell r="J56">
            <v>0.36</v>
          </cell>
          <cell r="K56">
            <v>0.34</v>
          </cell>
          <cell r="L56">
            <v>0.34</v>
          </cell>
          <cell r="M56">
            <v>0.35</v>
          </cell>
          <cell r="N56">
            <v>0.32</v>
          </cell>
          <cell r="O56">
            <v>0.36</v>
          </cell>
          <cell r="P56">
            <v>0.33</v>
          </cell>
          <cell r="Q56">
            <v>0.34</v>
          </cell>
          <cell r="R56">
            <v>0.37</v>
          </cell>
        </row>
        <row r="58">
          <cell r="G58">
            <v>2.3199999999999998</v>
          </cell>
          <cell r="H58">
            <v>1.36</v>
          </cell>
          <cell r="I58">
            <v>1.35</v>
          </cell>
          <cell r="J58">
            <v>1.74</v>
          </cell>
          <cell r="K58">
            <v>1.35</v>
          </cell>
          <cell r="L58">
            <v>1.35</v>
          </cell>
          <cell r="M58">
            <v>1.72</v>
          </cell>
          <cell r="N58">
            <v>2.0699999999999998</v>
          </cell>
          <cell r="O58">
            <v>1.32</v>
          </cell>
          <cell r="P58">
            <v>1.34</v>
          </cell>
          <cell r="Q58">
            <v>2.4</v>
          </cell>
          <cell r="R58">
            <v>1.37</v>
          </cell>
        </row>
        <row r="60">
          <cell r="G60">
            <v>2.3199999999999998</v>
          </cell>
          <cell r="H60">
            <v>1.36</v>
          </cell>
          <cell r="I60">
            <v>1.35</v>
          </cell>
          <cell r="J60">
            <v>1.74</v>
          </cell>
          <cell r="K60">
            <v>1.35</v>
          </cell>
          <cell r="L60">
            <v>1.35</v>
          </cell>
          <cell r="M60">
            <v>1.72</v>
          </cell>
          <cell r="N60">
            <v>2.0699999999999998</v>
          </cell>
          <cell r="O60">
            <v>1.32</v>
          </cell>
          <cell r="P60">
            <v>1.34</v>
          </cell>
          <cell r="Q60">
            <v>2.4</v>
          </cell>
          <cell r="R60">
            <v>1.37</v>
          </cell>
        </row>
        <row r="62">
          <cell r="G62">
            <v>112.58</v>
          </cell>
          <cell r="H62">
            <v>109.72</v>
          </cell>
          <cell r="I62">
            <v>109.72</v>
          </cell>
          <cell r="J62">
            <v>110.95</v>
          </cell>
          <cell r="K62">
            <v>108.10250000000001</v>
          </cell>
          <cell r="L62">
            <v>110.65</v>
          </cell>
          <cell r="M62">
            <v>108.22999999999999</v>
          </cell>
          <cell r="N62">
            <v>127.31</v>
          </cell>
          <cell r="O62">
            <v>112.34</v>
          </cell>
          <cell r="P62">
            <v>116.14</v>
          </cell>
          <cell r="Q62">
            <v>117.43</v>
          </cell>
          <cell r="R62">
            <v>111.28</v>
          </cell>
        </row>
        <row r="64">
          <cell r="G64">
            <v>105.24</v>
          </cell>
          <cell r="H64">
            <v>102.5</v>
          </cell>
          <cell r="I64">
            <v>102.27</v>
          </cell>
          <cell r="J64">
            <v>104.48</v>
          </cell>
          <cell r="K64">
            <v>103.6225</v>
          </cell>
          <cell r="L64">
            <v>103.58</v>
          </cell>
          <cell r="M64">
            <v>101.58</v>
          </cell>
          <cell r="N64">
            <v>122.29</v>
          </cell>
          <cell r="O64">
            <v>104.98</v>
          </cell>
          <cell r="P64">
            <v>108.85</v>
          </cell>
          <cell r="Q64">
            <v>110.17</v>
          </cell>
          <cell r="R64">
            <v>103.91</v>
          </cell>
        </row>
        <row r="66">
          <cell r="G66">
            <v>7.07</v>
          </cell>
          <cell r="H66">
            <v>6.94</v>
          </cell>
          <cell r="I66">
            <v>7.17</v>
          </cell>
          <cell r="J66">
            <v>6.18</v>
          </cell>
          <cell r="K66">
            <v>4.1900000000000004</v>
          </cell>
          <cell r="L66">
            <v>6.78</v>
          </cell>
          <cell r="M66">
            <v>6.38</v>
          </cell>
          <cell r="N66">
            <v>4.74</v>
          </cell>
          <cell r="O66">
            <v>7.08</v>
          </cell>
          <cell r="P66">
            <v>7.01</v>
          </cell>
          <cell r="Q66">
            <v>6.97</v>
          </cell>
          <cell r="R66">
            <v>7.08</v>
          </cell>
        </row>
        <row r="67">
          <cell r="G67">
            <v>0.27</v>
          </cell>
          <cell r="H67">
            <v>0.28000000000000003</v>
          </cell>
          <cell r="I67">
            <v>0.28000000000000003</v>
          </cell>
          <cell r="J67">
            <v>0.28999999999999998</v>
          </cell>
          <cell r="K67">
            <v>0.28999999999999998</v>
          </cell>
          <cell r="L67">
            <v>0.28999999999999998</v>
          </cell>
          <cell r="M67">
            <v>0.27</v>
          </cell>
          <cell r="N67">
            <v>0.28000000000000003</v>
          </cell>
          <cell r="O67">
            <v>0.28000000000000003</v>
          </cell>
          <cell r="P67">
            <v>0.28000000000000003</v>
          </cell>
          <cell r="Q67">
            <v>0.28999999999999998</v>
          </cell>
          <cell r="R67">
            <v>0.28999999999999998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70">
          <cell r="G70">
            <v>43.45</v>
          </cell>
          <cell r="H70">
            <v>43.75</v>
          </cell>
          <cell r="I70">
            <v>44.66</v>
          </cell>
          <cell r="J70">
            <v>44.59</v>
          </cell>
          <cell r="K70">
            <v>42.88</v>
          </cell>
          <cell r="L70">
            <v>43.31</v>
          </cell>
          <cell r="M70">
            <v>41.980000000000004</v>
          </cell>
          <cell r="N70">
            <v>42.87</v>
          </cell>
          <cell r="O70">
            <v>43.980000000000004</v>
          </cell>
          <cell r="P70">
            <v>44.32</v>
          </cell>
          <cell r="Q70">
            <v>44.58</v>
          </cell>
          <cell r="R70">
            <v>44.31</v>
          </cell>
        </row>
        <row r="72">
          <cell r="G72">
            <v>26.55</v>
          </cell>
          <cell r="H72">
            <v>26.42</v>
          </cell>
          <cell r="I72">
            <v>26.42</v>
          </cell>
          <cell r="J72">
            <v>26.61</v>
          </cell>
          <cell r="K72">
            <v>26.44</v>
          </cell>
          <cell r="L72">
            <v>26.8</v>
          </cell>
          <cell r="M72">
            <v>26.48</v>
          </cell>
          <cell r="N72">
            <v>26.56</v>
          </cell>
          <cell r="O72">
            <v>26.56</v>
          </cell>
          <cell r="P72">
            <v>26.35</v>
          </cell>
          <cell r="Q72">
            <v>26.4</v>
          </cell>
          <cell r="R72">
            <v>26.43</v>
          </cell>
        </row>
        <row r="73">
          <cell r="G73">
            <v>16.899999999999999</v>
          </cell>
          <cell r="H73">
            <v>17.329999999999998</v>
          </cell>
          <cell r="I73">
            <v>18.239999999999998</v>
          </cell>
          <cell r="J73">
            <v>17.98</v>
          </cell>
          <cell r="K73">
            <v>16.440000000000001</v>
          </cell>
          <cell r="L73">
            <v>16.510000000000002</v>
          </cell>
          <cell r="M73">
            <v>15.5</v>
          </cell>
          <cell r="N73">
            <v>16.309999999999999</v>
          </cell>
          <cell r="O73">
            <v>17.420000000000002</v>
          </cell>
          <cell r="P73">
            <v>17.97</v>
          </cell>
          <cell r="Q73">
            <v>18.18</v>
          </cell>
          <cell r="R73">
            <v>17.88</v>
          </cell>
        </row>
      </sheetData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Nod"/>
      <sheetName val="%USO"/>
      <sheetName val="Ram"/>
      <sheetName val="Dias"/>
      <sheetName val="ENERGIA"/>
      <sheetName val="ENERGIA (Cargos)"/>
      <sheetName val="2"/>
    </sheetNames>
    <sheetDataSet>
      <sheetData sheetId="0"/>
      <sheetData sheetId="1" refreshError="1">
        <row r="3">
          <cell r="A3">
            <v>6002</v>
          </cell>
          <cell r="B3">
            <v>115</v>
          </cell>
          <cell r="C3" t="str">
            <v>Panamá 115</v>
          </cell>
          <cell r="D3" t="str">
            <v>PAN115</v>
          </cell>
          <cell r="E3">
            <v>7</v>
          </cell>
        </row>
        <row r="4">
          <cell r="A4">
            <v>6003</v>
          </cell>
          <cell r="B4">
            <v>230</v>
          </cell>
          <cell r="C4" t="str">
            <v>Panamá II 230</v>
          </cell>
          <cell r="D4" t="str">
            <v>PANII230</v>
          </cell>
          <cell r="E4">
            <v>7</v>
          </cell>
        </row>
        <row r="5">
          <cell r="A5">
            <v>6004</v>
          </cell>
          <cell r="B5">
            <v>115</v>
          </cell>
          <cell r="C5" t="str">
            <v>Panamá II 115</v>
          </cell>
          <cell r="D5" t="str">
            <v>PANII115</v>
          </cell>
          <cell r="E5">
            <v>7</v>
          </cell>
        </row>
        <row r="6">
          <cell r="A6">
            <v>6005</v>
          </cell>
          <cell r="B6">
            <v>230</v>
          </cell>
          <cell r="C6" t="str">
            <v>Chorrera 230</v>
          </cell>
          <cell r="D6" t="str">
            <v>CHO230</v>
          </cell>
          <cell r="E6">
            <v>6</v>
          </cell>
        </row>
        <row r="7">
          <cell r="A7">
            <v>6008</v>
          </cell>
          <cell r="B7">
            <v>230</v>
          </cell>
          <cell r="C7" t="str">
            <v>Llano Sánchez 230</v>
          </cell>
          <cell r="D7" t="str">
            <v>LSA230</v>
          </cell>
          <cell r="E7">
            <v>5</v>
          </cell>
        </row>
        <row r="8">
          <cell r="A8">
            <v>6009</v>
          </cell>
          <cell r="B8">
            <v>115</v>
          </cell>
          <cell r="C8" t="str">
            <v>Llano Sánchez 115</v>
          </cell>
          <cell r="D8" t="str">
            <v>LSA115</v>
          </cell>
          <cell r="E8">
            <v>5</v>
          </cell>
        </row>
        <row r="9">
          <cell r="A9">
            <v>6010</v>
          </cell>
          <cell r="B9">
            <v>34.5</v>
          </cell>
          <cell r="C9" t="str">
            <v>Llano Sánchez 34.5</v>
          </cell>
          <cell r="D9" t="str">
            <v>LSA34</v>
          </cell>
          <cell r="E9">
            <v>5</v>
          </cell>
        </row>
        <row r="10">
          <cell r="A10">
            <v>6011</v>
          </cell>
          <cell r="B10">
            <v>230</v>
          </cell>
          <cell r="C10" t="str">
            <v>Mata de Nance 230</v>
          </cell>
          <cell r="D10" t="str">
            <v>MDN230</v>
          </cell>
          <cell r="E10">
            <v>4</v>
          </cell>
        </row>
        <row r="11">
          <cell r="A11">
            <v>6012</v>
          </cell>
          <cell r="B11">
            <v>115</v>
          </cell>
          <cell r="C11" t="str">
            <v>Mata de Nance 115</v>
          </cell>
          <cell r="D11" t="str">
            <v>MDN115</v>
          </cell>
          <cell r="E11">
            <v>4</v>
          </cell>
        </row>
        <row r="12">
          <cell r="A12">
            <v>6013</v>
          </cell>
          <cell r="B12">
            <v>34.5</v>
          </cell>
          <cell r="C12" t="str">
            <v>Mata de Nance 34.5</v>
          </cell>
          <cell r="D12" t="str">
            <v>MDN34</v>
          </cell>
          <cell r="E12">
            <v>4</v>
          </cell>
        </row>
        <row r="13">
          <cell r="A13">
            <v>6014</v>
          </cell>
          <cell r="B13">
            <v>230</v>
          </cell>
          <cell r="C13" t="str">
            <v>Progreso 230</v>
          </cell>
          <cell r="D13" t="str">
            <v>PRO230</v>
          </cell>
          <cell r="E13">
            <v>1</v>
          </cell>
        </row>
        <row r="14">
          <cell r="A14">
            <v>6018</v>
          </cell>
          <cell r="B14">
            <v>115</v>
          </cell>
          <cell r="C14" t="str">
            <v>Cáceres</v>
          </cell>
          <cell r="D14" t="str">
            <v>CAC115</v>
          </cell>
          <cell r="E14">
            <v>7</v>
          </cell>
        </row>
        <row r="15">
          <cell r="A15">
            <v>6024</v>
          </cell>
          <cell r="B15">
            <v>115</v>
          </cell>
          <cell r="C15" t="str">
            <v>Chilibre</v>
          </cell>
          <cell r="D15" t="str">
            <v>CHI115</v>
          </cell>
          <cell r="E15">
            <v>7</v>
          </cell>
        </row>
        <row r="16">
          <cell r="A16">
            <v>6059</v>
          </cell>
          <cell r="B16">
            <v>115</v>
          </cell>
          <cell r="C16" t="str">
            <v>Las Minas 1</v>
          </cell>
          <cell r="D16" t="str">
            <v>LM1115</v>
          </cell>
          <cell r="E16">
            <v>9</v>
          </cell>
        </row>
        <row r="17">
          <cell r="A17">
            <v>6060</v>
          </cell>
          <cell r="B17">
            <v>115</v>
          </cell>
          <cell r="C17" t="str">
            <v>Las Minas 2</v>
          </cell>
          <cell r="D17" t="str">
            <v>LM2115</v>
          </cell>
          <cell r="E17">
            <v>9</v>
          </cell>
        </row>
        <row r="18">
          <cell r="A18">
            <v>6087</v>
          </cell>
          <cell r="B18">
            <v>115</v>
          </cell>
          <cell r="C18" t="str">
            <v>Caldera</v>
          </cell>
          <cell r="D18" t="str">
            <v>CAL115</v>
          </cell>
          <cell r="E18">
            <v>3</v>
          </cell>
        </row>
        <row r="19">
          <cell r="A19">
            <v>6096</v>
          </cell>
          <cell r="B19">
            <v>230</v>
          </cell>
          <cell r="C19" t="str">
            <v>Fortuna</v>
          </cell>
          <cell r="D19" t="str">
            <v>FOR230</v>
          </cell>
          <cell r="E19">
            <v>2</v>
          </cell>
        </row>
        <row r="20">
          <cell r="A20">
            <v>6100</v>
          </cell>
          <cell r="B20">
            <v>230</v>
          </cell>
          <cell r="C20" t="str">
            <v>Bayano</v>
          </cell>
          <cell r="D20" t="str">
            <v>BAY230</v>
          </cell>
          <cell r="E20">
            <v>8</v>
          </cell>
        </row>
        <row r="21">
          <cell r="A21">
            <v>6170</v>
          </cell>
          <cell r="B21">
            <v>115</v>
          </cell>
          <cell r="C21" t="str">
            <v>Cemento Panamá</v>
          </cell>
          <cell r="D21" t="str">
            <v>CPA115</v>
          </cell>
          <cell r="E21">
            <v>9</v>
          </cell>
        </row>
        <row r="22">
          <cell r="A22">
            <v>6171</v>
          </cell>
          <cell r="B22">
            <v>230</v>
          </cell>
          <cell r="C22" t="str">
            <v>Pacora</v>
          </cell>
          <cell r="D22" t="str">
            <v>PAC230</v>
          </cell>
          <cell r="E22">
            <v>7</v>
          </cell>
        </row>
        <row r="23">
          <cell r="A23">
            <v>6173</v>
          </cell>
          <cell r="B23">
            <v>115</v>
          </cell>
          <cell r="C23" t="str">
            <v>Santa Rita</v>
          </cell>
          <cell r="D23" t="str">
            <v>STR115</v>
          </cell>
          <cell r="E23">
            <v>9</v>
          </cell>
        </row>
        <row r="24">
          <cell r="A24">
            <v>6179</v>
          </cell>
          <cell r="B24">
            <v>230</v>
          </cell>
          <cell r="C24" t="str">
            <v>Guasquitas</v>
          </cell>
          <cell r="D24" t="str">
            <v>GUA230</v>
          </cell>
          <cell r="E24">
            <v>2</v>
          </cell>
        </row>
        <row r="25">
          <cell r="A25">
            <v>6182</v>
          </cell>
          <cell r="B25">
            <v>230</v>
          </cell>
          <cell r="C25" t="str">
            <v>Veladero</v>
          </cell>
          <cell r="D25" t="str">
            <v>VEL230</v>
          </cell>
          <cell r="E25">
            <v>4</v>
          </cell>
        </row>
        <row r="26">
          <cell r="A26">
            <v>6240</v>
          </cell>
          <cell r="B26">
            <v>230</v>
          </cell>
          <cell r="C26" t="str">
            <v>El Higo</v>
          </cell>
          <cell r="D26" t="str">
            <v>EHIG230</v>
          </cell>
          <cell r="E26">
            <v>5</v>
          </cell>
        </row>
        <row r="27">
          <cell r="A27">
            <v>6243</v>
          </cell>
          <cell r="B27">
            <v>230</v>
          </cell>
          <cell r="C27" t="str">
            <v>Vista Hermosa</v>
          </cell>
          <cell r="D27" t="str">
            <v>VHE230</v>
          </cell>
          <cell r="E27">
            <v>7</v>
          </cell>
        </row>
        <row r="28">
          <cell r="A28">
            <v>6260</v>
          </cell>
          <cell r="B28">
            <v>230</v>
          </cell>
          <cell r="C28" t="str">
            <v>Changuinola</v>
          </cell>
          <cell r="D28" t="str">
            <v>CHA230</v>
          </cell>
          <cell r="E28">
            <v>10</v>
          </cell>
        </row>
        <row r="29">
          <cell r="A29">
            <v>6261</v>
          </cell>
          <cell r="B29">
            <v>115</v>
          </cell>
          <cell r="C29" t="str">
            <v>Changuinola 115</v>
          </cell>
          <cell r="D29" t="str">
            <v>CHA115</v>
          </cell>
          <cell r="E29">
            <v>10</v>
          </cell>
        </row>
        <row r="30">
          <cell r="A30">
            <v>6262</v>
          </cell>
          <cell r="B30">
            <v>34.5</v>
          </cell>
          <cell r="C30" t="str">
            <v>Changuinola 34.5</v>
          </cell>
          <cell r="D30" t="str">
            <v>CHA34</v>
          </cell>
          <cell r="E30">
            <v>10</v>
          </cell>
        </row>
        <row r="31">
          <cell r="A31">
            <v>6263</v>
          </cell>
          <cell r="B31">
            <v>230</v>
          </cell>
          <cell r="C31" t="str">
            <v>La Esperanza</v>
          </cell>
          <cell r="D31" t="str">
            <v>ESP230</v>
          </cell>
          <cell r="E31">
            <v>10</v>
          </cell>
        </row>
        <row r="32">
          <cell r="A32">
            <v>6290</v>
          </cell>
          <cell r="B32">
            <v>115</v>
          </cell>
          <cell r="C32" t="str">
            <v>Cativá II</v>
          </cell>
          <cell r="D32" t="str">
            <v>CATII115</v>
          </cell>
          <cell r="E32">
            <v>9</v>
          </cell>
        </row>
        <row r="33">
          <cell r="A33">
            <v>6340</v>
          </cell>
          <cell r="B33">
            <v>230</v>
          </cell>
          <cell r="C33" t="str">
            <v>Cañazas</v>
          </cell>
          <cell r="D33" t="str">
            <v>CAN230</v>
          </cell>
          <cell r="E33">
            <v>10</v>
          </cell>
        </row>
        <row r="34">
          <cell r="A34">
            <v>6380</v>
          </cell>
          <cell r="B34">
            <v>230</v>
          </cell>
          <cell r="C34" t="str">
            <v>Boquerón III</v>
          </cell>
          <cell r="D34" t="str">
            <v>BOQIII230</v>
          </cell>
          <cell r="E34">
            <v>4</v>
          </cell>
        </row>
        <row r="35">
          <cell r="A35">
            <v>6460</v>
          </cell>
          <cell r="B35">
            <v>230</v>
          </cell>
          <cell r="C35" t="str">
            <v>El Coco</v>
          </cell>
          <cell r="D35" t="str">
            <v>ECO230</v>
          </cell>
          <cell r="E35">
            <v>5</v>
          </cell>
        </row>
        <row r="36">
          <cell r="A36">
            <v>6470</v>
          </cell>
          <cell r="B36">
            <v>230</v>
          </cell>
          <cell r="C36" t="str">
            <v>24 de Diciembre</v>
          </cell>
          <cell r="D36" t="str">
            <v>24DIC230</v>
          </cell>
          <cell r="E36">
            <v>7</v>
          </cell>
        </row>
        <row r="37">
          <cell r="A37">
            <v>6520</v>
          </cell>
          <cell r="B37">
            <v>230</v>
          </cell>
          <cell r="C37" t="str">
            <v>San Bartolo</v>
          </cell>
          <cell r="D37" t="str">
            <v>SBA34</v>
          </cell>
          <cell r="E37">
            <v>4</v>
          </cell>
        </row>
        <row r="38">
          <cell r="A38">
            <v>6550</v>
          </cell>
          <cell r="B38">
            <v>230</v>
          </cell>
          <cell r="C38" t="str">
            <v>Bella Vista</v>
          </cell>
          <cell r="D38" t="str">
            <v>BEV230</v>
          </cell>
          <cell r="E38">
            <v>4</v>
          </cell>
        </row>
        <row r="39">
          <cell r="A39">
            <v>6713</v>
          </cell>
          <cell r="B39">
            <v>230</v>
          </cell>
          <cell r="C39" t="str">
            <v>Burunga</v>
          </cell>
          <cell r="D39" t="str">
            <v>BUR230</v>
          </cell>
          <cell r="E39">
            <v>6</v>
          </cell>
        </row>
        <row r="40">
          <cell r="A40">
            <v>6801</v>
          </cell>
          <cell r="B40">
            <v>230</v>
          </cell>
          <cell r="C40" t="str">
            <v>Costa Norte</v>
          </cell>
          <cell r="D40" t="str">
            <v>CNO230</v>
          </cell>
          <cell r="E40">
            <v>9</v>
          </cell>
        </row>
        <row r="41">
          <cell r="A41">
            <v>6830</v>
          </cell>
          <cell r="B41">
            <v>230</v>
          </cell>
          <cell r="C41" t="str">
            <v>Antón</v>
          </cell>
          <cell r="D41" t="str">
            <v>ANT230</v>
          </cell>
          <cell r="E41">
            <v>6</v>
          </cell>
        </row>
        <row r="42">
          <cell r="A42">
            <v>7000</v>
          </cell>
          <cell r="C42" t="str">
            <v>T1-Panama</v>
          </cell>
          <cell r="D42" t="str">
            <v>T1-PAN</v>
          </cell>
          <cell r="E42">
            <v>7</v>
          </cell>
        </row>
        <row r="43">
          <cell r="A43">
            <v>7001</v>
          </cell>
          <cell r="C43" t="str">
            <v>T2-Panama</v>
          </cell>
          <cell r="D43" t="str">
            <v>T2-PAN</v>
          </cell>
          <cell r="E43">
            <v>7</v>
          </cell>
        </row>
        <row r="44">
          <cell r="A44">
            <v>7002</v>
          </cell>
          <cell r="C44" t="str">
            <v>T3-Panama</v>
          </cell>
          <cell r="D44" t="str">
            <v>T3-PAN</v>
          </cell>
          <cell r="E44">
            <v>7</v>
          </cell>
        </row>
        <row r="45">
          <cell r="A45">
            <v>7003</v>
          </cell>
          <cell r="C45" t="str">
            <v>T5-Panama</v>
          </cell>
          <cell r="D45" t="str">
            <v>T5-PAN</v>
          </cell>
          <cell r="E45">
            <v>7</v>
          </cell>
        </row>
        <row r="46">
          <cell r="A46">
            <v>7004</v>
          </cell>
          <cell r="C46" t="str">
            <v>T1-PanamaII</v>
          </cell>
          <cell r="D46" t="str">
            <v>T1-PANII</v>
          </cell>
          <cell r="E46">
            <v>7</v>
          </cell>
        </row>
        <row r="47">
          <cell r="A47">
            <v>7005</v>
          </cell>
          <cell r="C47" t="str">
            <v>T2-PanamaII</v>
          </cell>
          <cell r="D47" t="str">
            <v>T2-PANII</v>
          </cell>
          <cell r="E47">
            <v>7</v>
          </cell>
        </row>
        <row r="48">
          <cell r="A48">
            <v>7006</v>
          </cell>
          <cell r="C48" t="str">
            <v>T3-PanamaII</v>
          </cell>
          <cell r="D48" t="str">
            <v>T3-PANII</v>
          </cell>
          <cell r="E48">
            <v>7</v>
          </cell>
        </row>
        <row r="49">
          <cell r="A49">
            <v>7007</v>
          </cell>
          <cell r="C49" t="str">
            <v>T1-Chorrera</v>
          </cell>
          <cell r="D49" t="str">
            <v>T1-CHO</v>
          </cell>
          <cell r="E49">
            <v>6</v>
          </cell>
        </row>
        <row r="50">
          <cell r="A50">
            <v>7008</v>
          </cell>
          <cell r="C50" t="str">
            <v>T2-Chorrera</v>
          </cell>
          <cell r="D50" t="str">
            <v>T2-CHO</v>
          </cell>
          <cell r="E50">
            <v>6</v>
          </cell>
        </row>
        <row r="51">
          <cell r="A51">
            <v>7009</v>
          </cell>
          <cell r="C51" t="str">
            <v>T3-Chorrera</v>
          </cell>
          <cell r="D51" t="str">
            <v>T3-CHO</v>
          </cell>
          <cell r="E51">
            <v>6</v>
          </cell>
        </row>
        <row r="52">
          <cell r="A52">
            <v>7010</v>
          </cell>
          <cell r="C52" t="str">
            <v>T1-Llano Sanchez</v>
          </cell>
          <cell r="D52" t="str">
            <v>T1-LSA</v>
          </cell>
          <cell r="E52">
            <v>5</v>
          </cell>
        </row>
        <row r="53">
          <cell r="A53">
            <v>7011</v>
          </cell>
          <cell r="C53" t="str">
            <v>T2-Llano Sanchez</v>
          </cell>
          <cell r="D53" t="str">
            <v>T2-LSA</v>
          </cell>
          <cell r="E53">
            <v>5</v>
          </cell>
        </row>
        <row r="54">
          <cell r="A54">
            <v>7012</v>
          </cell>
          <cell r="C54" t="str">
            <v>T3-Llano Sanchez</v>
          </cell>
          <cell r="D54" t="str">
            <v>T3-LSA</v>
          </cell>
          <cell r="E54">
            <v>5</v>
          </cell>
        </row>
        <row r="55">
          <cell r="A55">
            <v>7013</v>
          </cell>
          <cell r="C55" t="str">
            <v>T1-Mata de Nance</v>
          </cell>
          <cell r="D55" t="str">
            <v>T1-MDN</v>
          </cell>
          <cell r="E55">
            <v>4</v>
          </cell>
        </row>
        <row r="56">
          <cell r="A56">
            <v>7014</v>
          </cell>
          <cell r="C56" t="str">
            <v>T2-Mata de Nance</v>
          </cell>
          <cell r="D56" t="str">
            <v>T2-MDN</v>
          </cell>
          <cell r="E56">
            <v>4</v>
          </cell>
        </row>
        <row r="57">
          <cell r="A57">
            <v>7015</v>
          </cell>
          <cell r="C57" t="str">
            <v>T3-Mata de Nance</v>
          </cell>
          <cell r="D57" t="str">
            <v>T3-MDN</v>
          </cell>
          <cell r="E57">
            <v>5</v>
          </cell>
        </row>
        <row r="58">
          <cell r="A58">
            <v>7016</v>
          </cell>
          <cell r="C58" t="str">
            <v>T1-Changuinola</v>
          </cell>
          <cell r="D58" t="str">
            <v>T1-CHA</v>
          </cell>
          <cell r="E58">
            <v>10</v>
          </cell>
        </row>
      </sheetData>
      <sheetData sheetId="2"/>
      <sheetData sheetId="3">
        <row r="2">
          <cell r="C2">
            <v>230</v>
          </cell>
        </row>
      </sheetData>
      <sheetData sheetId="4"/>
      <sheetData sheetId="5">
        <row r="2">
          <cell r="L2">
            <v>11181.051490669599</v>
          </cell>
        </row>
      </sheetData>
      <sheetData sheetId="6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Nod"/>
      <sheetName val="Ram"/>
      <sheetName val="%USO"/>
      <sheetName val="Dias"/>
      <sheetName val="ENERGIA"/>
      <sheetName val="ENSA"/>
    </sheetNames>
    <sheetDataSet>
      <sheetData sheetId="0">
        <row r="1">
          <cell r="B1">
            <v>2</v>
          </cell>
          <cell r="C1" t="str">
            <v>2022-2023</v>
          </cell>
        </row>
        <row r="3">
          <cell r="B3">
            <v>58495.249399694701</v>
          </cell>
          <cell r="D3">
            <v>2479.0600000000009</v>
          </cell>
        </row>
        <row r="4">
          <cell r="B4">
            <v>50028.061678746009</v>
          </cell>
          <cell r="D4">
            <v>2204.3000000000006</v>
          </cell>
          <cell r="F4">
            <v>22.695668320440046</v>
          </cell>
        </row>
        <row r="5">
          <cell r="B5">
            <v>8467.1877209486938</v>
          </cell>
          <cell r="D5">
            <v>274.76000000000005</v>
          </cell>
          <cell r="F5">
            <v>30.816668077408256</v>
          </cell>
        </row>
        <row r="7">
          <cell r="B7">
            <v>40722.153909291999</v>
          </cell>
          <cell r="C7">
            <v>1</v>
          </cell>
          <cell r="D7">
            <v>611.28</v>
          </cell>
          <cell r="E7">
            <v>1</v>
          </cell>
          <cell r="F7">
            <v>66.61784110275488</v>
          </cell>
          <cell r="G7" t="str">
            <v>(230 kV)</v>
          </cell>
        </row>
        <row r="11">
          <cell r="B11">
            <v>294.17</v>
          </cell>
          <cell r="C11">
            <v>428.69</v>
          </cell>
          <cell r="D11">
            <v>152.99</v>
          </cell>
          <cell r="E11">
            <v>404.21000000000004</v>
          </cell>
          <cell r="F11">
            <v>933.57999999999993</v>
          </cell>
          <cell r="G11">
            <v>147</v>
          </cell>
          <cell r="H11">
            <v>159.33000000000001</v>
          </cell>
          <cell r="I11">
            <v>260</v>
          </cell>
          <cell r="J11">
            <v>740.25</v>
          </cell>
          <cell r="K11">
            <v>252.17</v>
          </cell>
        </row>
        <row r="12">
          <cell r="B12">
            <v>19.914304269917743</v>
          </cell>
          <cell r="C12">
            <v>0</v>
          </cell>
          <cell r="D12">
            <v>9.1459859130985102E-2</v>
          </cell>
          <cell r="E12">
            <v>123.57224114539488</v>
          </cell>
          <cell r="F12">
            <v>604.83943735193509</v>
          </cell>
          <cell r="G12">
            <v>180.24893333333333</v>
          </cell>
          <cell r="H12">
            <v>1123.6969575106157</v>
          </cell>
          <cell r="I12">
            <v>1.31</v>
          </cell>
          <cell r="J12">
            <v>148.55000000000001</v>
          </cell>
          <cell r="K12">
            <v>64.363653074839306</v>
          </cell>
        </row>
      </sheetData>
      <sheetData sheetId="1">
        <row r="3">
          <cell r="A3">
            <v>6002</v>
          </cell>
          <cell r="B3">
            <v>115</v>
          </cell>
          <cell r="C3" t="str">
            <v>Panamá 115</v>
          </cell>
          <cell r="D3" t="str">
            <v>PAN115</v>
          </cell>
          <cell r="E3">
            <v>7</v>
          </cell>
        </row>
        <row r="4">
          <cell r="A4">
            <v>6003</v>
          </cell>
          <cell r="B4">
            <v>230</v>
          </cell>
          <cell r="C4" t="str">
            <v>Panamá II 230</v>
          </cell>
          <cell r="D4" t="str">
            <v>PANII230</v>
          </cell>
          <cell r="E4">
            <v>7</v>
          </cell>
        </row>
        <row r="5">
          <cell r="A5">
            <v>6004</v>
          </cell>
          <cell r="B5">
            <v>115</v>
          </cell>
          <cell r="C5" t="str">
            <v>Panamá II 115</v>
          </cell>
          <cell r="D5" t="str">
            <v>PANII115</v>
          </cell>
          <cell r="E5">
            <v>7</v>
          </cell>
        </row>
        <row r="6">
          <cell r="A6">
            <v>6005</v>
          </cell>
          <cell r="B6">
            <v>230</v>
          </cell>
          <cell r="C6" t="str">
            <v>Chorrera 230</v>
          </cell>
          <cell r="D6" t="str">
            <v>CHO230</v>
          </cell>
          <cell r="E6">
            <v>6</v>
          </cell>
        </row>
        <row r="7">
          <cell r="A7">
            <v>6008</v>
          </cell>
          <cell r="B7">
            <v>230</v>
          </cell>
          <cell r="C7" t="str">
            <v>Llano Sánchez 230</v>
          </cell>
          <cell r="D7" t="str">
            <v>LSA230</v>
          </cell>
          <cell r="E7">
            <v>5</v>
          </cell>
        </row>
        <row r="8">
          <cell r="A8">
            <v>6009</v>
          </cell>
          <cell r="B8">
            <v>115</v>
          </cell>
          <cell r="C8" t="str">
            <v>Llano Sánchez 115</v>
          </cell>
          <cell r="D8" t="str">
            <v>LSA115</v>
          </cell>
          <cell r="E8">
            <v>5</v>
          </cell>
        </row>
        <row r="9">
          <cell r="A9">
            <v>6010</v>
          </cell>
          <cell r="B9">
            <v>34.5</v>
          </cell>
          <cell r="C9" t="str">
            <v>Llano Sánchez 34.5</v>
          </cell>
          <cell r="D9" t="str">
            <v>LSA34</v>
          </cell>
          <cell r="E9">
            <v>5</v>
          </cell>
        </row>
        <row r="10">
          <cell r="A10">
            <v>6011</v>
          </cell>
          <cell r="B10">
            <v>230</v>
          </cell>
          <cell r="C10" t="str">
            <v>Mata de Nance 230</v>
          </cell>
          <cell r="D10" t="str">
            <v>MDN230</v>
          </cell>
          <cell r="E10">
            <v>4</v>
          </cell>
        </row>
        <row r="11">
          <cell r="A11">
            <v>6012</v>
          </cell>
          <cell r="B11">
            <v>115</v>
          </cell>
          <cell r="C11" t="str">
            <v>Mata de Nance 115</v>
          </cell>
          <cell r="D11" t="str">
            <v>MDN115</v>
          </cell>
          <cell r="E11">
            <v>4</v>
          </cell>
        </row>
        <row r="12">
          <cell r="A12">
            <v>6013</v>
          </cell>
          <cell r="B12">
            <v>34.5</v>
          </cell>
          <cell r="C12" t="str">
            <v>Mata de Nance 34.5</v>
          </cell>
          <cell r="D12" t="str">
            <v>MDN34</v>
          </cell>
          <cell r="E12">
            <v>4</v>
          </cell>
        </row>
        <row r="13">
          <cell r="A13">
            <v>6014</v>
          </cell>
          <cell r="B13">
            <v>230</v>
          </cell>
          <cell r="C13" t="str">
            <v>Progreso 230</v>
          </cell>
          <cell r="D13" t="str">
            <v>PRO230</v>
          </cell>
          <cell r="E13">
            <v>1</v>
          </cell>
        </row>
        <row r="14">
          <cell r="A14">
            <v>6018</v>
          </cell>
          <cell r="B14">
            <v>115</v>
          </cell>
          <cell r="C14" t="str">
            <v>Cáceres</v>
          </cell>
          <cell r="D14" t="str">
            <v>CAC115</v>
          </cell>
          <cell r="E14">
            <v>7</v>
          </cell>
        </row>
        <row r="15">
          <cell r="A15">
            <v>6024</v>
          </cell>
          <cell r="B15">
            <v>115</v>
          </cell>
          <cell r="C15" t="str">
            <v>Chilibre</v>
          </cell>
          <cell r="D15" t="str">
            <v>CHI115</v>
          </cell>
          <cell r="E15">
            <v>7</v>
          </cell>
        </row>
        <row r="16">
          <cell r="A16">
            <v>6059</v>
          </cell>
          <cell r="B16">
            <v>115</v>
          </cell>
          <cell r="C16" t="str">
            <v>Las Minas 1</v>
          </cell>
          <cell r="D16" t="str">
            <v>LM1115</v>
          </cell>
          <cell r="E16">
            <v>9</v>
          </cell>
        </row>
        <row r="17">
          <cell r="A17">
            <v>6060</v>
          </cell>
          <cell r="B17">
            <v>115</v>
          </cell>
          <cell r="C17" t="str">
            <v>Las Minas 2</v>
          </cell>
          <cell r="D17" t="str">
            <v>LM2115</v>
          </cell>
          <cell r="E17">
            <v>9</v>
          </cell>
        </row>
        <row r="18">
          <cell r="A18">
            <v>6087</v>
          </cell>
          <cell r="B18">
            <v>115</v>
          </cell>
          <cell r="C18" t="str">
            <v>Caldera</v>
          </cell>
          <cell r="D18" t="str">
            <v>CAL115</v>
          </cell>
          <cell r="E18">
            <v>3</v>
          </cell>
        </row>
        <row r="19">
          <cell r="A19">
            <v>6096</v>
          </cell>
          <cell r="B19">
            <v>230</v>
          </cell>
          <cell r="C19" t="str">
            <v>Fortuna</v>
          </cell>
          <cell r="D19" t="str">
            <v>FOR230</v>
          </cell>
          <cell r="E19">
            <v>2</v>
          </cell>
        </row>
        <row r="20">
          <cell r="A20">
            <v>6100</v>
          </cell>
          <cell r="B20">
            <v>230</v>
          </cell>
          <cell r="C20" t="str">
            <v>Bayano</v>
          </cell>
          <cell r="D20" t="str">
            <v>BAY230</v>
          </cell>
          <cell r="E20">
            <v>8</v>
          </cell>
        </row>
        <row r="21">
          <cell r="A21">
            <v>6170</v>
          </cell>
          <cell r="B21">
            <v>115</v>
          </cell>
          <cell r="C21" t="str">
            <v>Cemento Panamá</v>
          </cell>
          <cell r="D21" t="str">
            <v>CPA115</v>
          </cell>
          <cell r="E21">
            <v>9</v>
          </cell>
        </row>
        <row r="22">
          <cell r="A22">
            <v>6171</v>
          </cell>
          <cell r="B22">
            <v>230</v>
          </cell>
          <cell r="C22" t="str">
            <v>Pacora</v>
          </cell>
          <cell r="D22" t="str">
            <v>PAC230</v>
          </cell>
          <cell r="E22">
            <v>7</v>
          </cell>
        </row>
        <row r="23">
          <cell r="A23">
            <v>6173</v>
          </cell>
          <cell r="B23">
            <v>115</v>
          </cell>
          <cell r="C23" t="str">
            <v>Santa Rita</v>
          </cell>
          <cell r="D23" t="str">
            <v>STR115</v>
          </cell>
          <cell r="E23">
            <v>9</v>
          </cell>
        </row>
        <row r="24">
          <cell r="A24">
            <v>6179</v>
          </cell>
          <cell r="B24">
            <v>230</v>
          </cell>
          <cell r="C24" t="str">
            <v>Guasquitas</v>
          </cell>
          <cell r="D24" t="str">
            <v>GUA230</v>
          </cell>
          <cell r="E24">
            <v>2</v>
          </cell>
        </row>
        <row r="25">
          <cell r="A25">
            <v>6182</v>
          </cell>
          <cell r="B25">
            <v>230</v>
          </cell>
          <cell r="C25" t="str">
            <v>Veladero</v>
          </cell>
          <cell r="D25" t="str">
            <v>VEL230</v>
          </cell>
          <cell r="E25">
            <v>4</v>
          </cell>
        </row>
        <row r="26">
          <cell r="A26">
            <v>6240</v>
          </cell>
          <cell r="B26">
            <v>230</v>
          </cell>
          <cell r="C26" t="str">
            <v>El Higo</v>
          </cell>
          <cell r="D26" t="str">
            <v>EHIG230</v>
          </cell>
          <cell r="E26">
            <v>5</v>
          </cell>
        </row>
        <row r="27">
          <cell r="A27">
            <v>6260</v>
          </cell>
          <cell r="B27">
            <v>230</v>
          </cell>
          <cell r="C27" t="str">
            <v>Changuinola</v>
          </cell>
          <cell r="D27" t="str">
            <v>CHA230</v>
          </cell>
          <cell r="E27">
            <v>10</v>
          </cell>
        </row>
        <row r="28">
          <cell r="A28">
            <v>6261</v>
          </cell>
          <cell r="B28">
            <v>115</v>
          </cell>
          <cell r="C28" t="str">
            <v>Changuinola 115</v>
          </cell>
          <cell r="D28" t="str">
            <v>CHA115</v>
          </cell>
          <cell r="E28">
            <v>10</v>
          </cell>
        </row>
        <row r="29">
          <cell r="A29">
            <v>6262</v>
          </cell>
          <cell r="B29">
            <v>34.5</v>
          </cell>
          <cell r="C29" t="str">
            <v>Changuinola 34.5</v>
          </cell>
          <cell r="D29" t="str">
            <v>CHA34</v>
          </cell>
          <cell r="E29">
            <v>10</v>
          </cell>
        </row>
        <row r="30">
          <cell r="A30">
            <v>6263</v>
          </cell>
          <cell r="B30">
            <v>230</v>
          </cell>
          <cell r="C30" t="str">
            <v>La Esperanza</v>
          </cell>
          <cell r="D30" t="str">
            <v>ESP230</v>
          </cell>
          <cell r="E30">
            <v>10</v>
          </cell>
        </row>
        <row r="31">
          <cell r="A31">
            <v>6290</v>
          </cell>
          <cell r="B31">
            <v>115</v>
          </cell>
          <cell r="C31" t="str">
            <v>Cativá II</v>
          </cell>
          <cell r="D31" t="str">
            <v>CATII115</v>
          </cell>
          <cell r="E31">
            <v>9</v>
          </cell>
        </row>
        <row r="32">
          <cell r="A32">
            <v>6340</v>
          </cell>
          <cell r="B32">
            <v>230</v>
          </cell>
          <cell r="C32" t="str">
            <v>Cañazas</v>
          </cell>
          <cell r="D32" t="str">
            <v>CAN230</v>
          </cell>
          <cell r="E32">
            <v>10</v>
          </cell>
        </row>
        <row r="33">
          <cell r="A33">
            <v>6380</v>
          </cell>
          <cell r="B33">
            <v>230</v>
          </cell>
          <cell r="C33" t="str">
            <v>Boquerón III</v>
          </cell>
          <cell r="D33" t="str">
            <v>BOQIII230</v>
          </cell>
          <cell r="E33">
            <v>4</v>
          </cell>
        </row>
        <row r="34">
          <cell r="A34">
            <v>6460</v>
          </cell>
          <cell r="B34">
            <v>230</v>
          </cell>
          <cell r="C34" t="str">
            <v>El Coco</v>
          </cell>
          <cell r="D34" t="str">
            <v>ECO230</v>
          </cell>
          <cell r="E34">
            <v>5</v>
          </cell>
        </row>
        <row r="35">
          <cell r="A35">
            <v>6470</v>
          </cell>
          <cell r="B35">
            <v>230</v>
          </cell>
          <cell r="C35" t="str">
            <v>24 de Diciembre</v>
          </cell>
          <cell r="D35" t="str">
            <v>24DIC230</v>
          </cell>
          <cell r="E35">
            <v>7</v>
          </cell>
        </row>
        <row r="36">
          <cell r="A36">
            <v>6520</v>
          </cell>
          <cell r="B36">
            <v>230</v>
          </cell>
          <cell r="C36" t="str">
            <v>San Bartolo</v>
          </cell>
          <cell r="D36" t="str">
            <v>SBA34</v>
          </cell>
          <cell r="E36">
            <v>4</v>
          </cell>
        </row>
        <row r="37">
          <cell r="A37">
            <v>6550</v>
          </cell>
          <cell r="B37">
            <v>230</v>
          </cell>
          <cell r="C37" t="str">
            <v>Bella Vista</v>
          </cell>
          <cell r="D37" t="str">
            <v>BEV230</v>
          </cell>
          <cell r="E37">
            <v>4</v>
          </cell>
        </row>
        <row r="38">
          <cell r="A38">
            <v>6713</v>
          </cell>
          <cell r="B38">
            <v>230</v>
          </cell>
          <cell r="C38" t="str">
            <v>Burunga</v>
          </cell>
          <cell r="D38" t="str">
            <v>BUR230</v>
          </cell>
          <cell r="E38">
            <v>6</v>
          </cell>
        </row>
        <row r="39">
          <cell r="A39">
            <v>6802</v>
          </cell>
          <cell r="B39">
            <v>230</v>
          </cell>
          <cell r="C39" t="str">
            <v>Costa Norte</v>
          </cell>
          <cell r="D39" t="str">
            <v>CNO230</v>
          </cell>
          <cell r="E39">
            <v>9</v>
          </cell>
        </row>
        <row r="40">
          <cell r="A40">
            <v>6803</v>
          </cell>
          <cell r="B40">
            <v>230</v>
          </cell>
          <cell r="C40" t="str">
            <v>Costa Norte</v>
          </cell>
          <cell r="D40" t="str">
            <v>CNO230</v>
          </cell>
          <cell r="E40">
            <v>9</v>
          </cell>
        </row>
        <row r="41">
          <cell r="A41">
            <v>6830</v>
          </cell>
          <cell r="B41">
            <v>230</v>
          </cell>
          <cell r="C41" t="str">
            <v>Antón</v>
          </cell>
          <cell r="D41" t="str">
            <v>ANT230</v>
          </cell>
          <cell r="E41">
            <v>6</v>
          </cell>
        </row>
        <row r="42">
          <cell r="A42">
            <v>7000</v>
          </cell>
          <cell r="C42" t="str">
            <v>T1-Panama</v>
          </cell>
          <cell r="D42" t="str">
            <v>T1-PAN</v>
          </cell>
          <cell r="E42">
            <v>7</v>
          </cell>
        </row>
        <row r="43">
          <cell r="A43">
            <v>7001</v>
          </cell>
          <cell r="C43" t="str">
            <v>T2-Panama</v>
          </cell>
          <cell r="D43" t="str">
            <v>T2-PAN</v>
          </cell>
          <cell r="E43">
            <v>7</v>
          </cell>
        </row>
        <row r="44">
          <cell r="A44">
            <v>7002</v>
          </cell>
          <cell r="C44" t="str">
            <v>T3-Panama</v>
          </cell>
          <cell r="D44" t="str">
            <v>T3-PAN</v>
          </cell>
          <cell r="E44">
            <v>7</v>
          </cell>
        </row>
        <row r="45">
          <cell r="A45">
            <v>7003</v>
          </cell>
          <cell r="C45" t="str">
            <v>T5-Panama</v>
          </cell>
          <cell r="D45" t="str">
            <v>T5-PAN</v>
          </cell>
          <cell r="E45">
            <v>7</v>
          </cell>
        </row>
        <row r="46">
          <cell r="A46">
            <v>7004</v>
          </cell>
          <cell r="C46" t="str">
            <v>T1-PanamaII</v>
          </cell>
          <cell r="D46" t="str">
            <v>T1-PANII</v>
          </cell>
          <cell r="E46">
            <v>7</v>
          </cell>
        </row>
        <row r="47">
          <cell r="A47">
            <v>7005</v>
          </cell>
          <cell r="C47" t="str">
            <v>T2-PanamaII</v>
          </cell>
          <cell r="D47" t="str">
            <v>T2-PANII</v>
          </cell>
          <cell r="E47">
            <v>7</v>
          </cell>
        </row>
        <row r="48">
          <cell r="A48">
            <v>7006</v>
          </cell>
          <cell r="C48" t="str">
            <v>T3-PanamaII</v>
          </cell>
          <cell r="D48" t="str">
            <v>T3-PANII</v>
          </cell>
          <cell r="E48">
            <v>7</v>
          </cell>
        </row>
        <row r="49">
          <cell r="A49">
            <v>7007</v>
          </cell>
          <cell r="C49" t="str">
            <v>T1-Chorrera</v>
          </cell>
          <cell r="D49" t="str">
            <v>T1-CHO</v>
          </cell>
          <cell r="E49">
            <v>6</v>
          </cell>
        </row>
        <row r="50">
          <cell r="A50">
            <v>7008</v>
          </cell>
          <cell r="C50" t="str">
            <v>T2-Chorrera</v>
          </cell>
          <cell r="D50" t="str">
            <v>T2-CHO</v>
          </cell>
          <cell r="E50">
            <v>6</v>
          </cell>
        </row>
        <row r="51">
          <cell r="A51">
            <v>7009</v>
          </cell>
          <cell r="C51" t="str">
            <v>T3-Chorrera</v>
          </cell>
          <cell r="D51" t="str">
            <v>T3-CHO</v>
          </cell>
          <cell r="E51">
            <v>6</v>
          </cell>
        </row>
        <row r="52">
          <cell r="A52">
            <v>7010</v>
          </cell>
          <cell r="C52" t="str">
            <v>T1-Llano Sanchez</v>
          </cell>
          <cell r="D52" t="str">
            <v>T1-LSA</v>
          </cell>
          <cell r="E52">
            <v>5</v>
          </cell>
        </row>
        <row r="53">
          <cell r="A53">
            <v>7011</v>
          </cell>
          <cell r="C53" t="str">
            <v>T2-Llano Sanchez</v>
          </cell>
          <cell r="D53" t="str">
            <v>T2-LSA</v>
          </cell>
          <cell r="E53">
            <v>5</v>
          </cell>
        </row>
        <row r="54">
          <cell r="A54">
            <v>7012</v>
          </cell>
          <cell r="C54" t="str">
            <v>T3-Llano Sanchez</v>
          </cell>
          <cell r="D54" t="str">
            <v>T3-LSA</v>
          </cell>
          <cell r="E54">
            <v>5</v>
          </cell>
        </row>
        <row r="55">
          <cell r="A55">
            <v>7013</v>
          </cell>
          <cell r="C55" t="str">
            <v>T1-Mata de Nance</v>
          </cell>
          <cell r="D55" t="str">
            <v>T1-MDN</v>
          </cell>
          <cell r="E55">
            <v>4</v>
          </cell>
        </row>
        <row r="56">
          <cell r="A56">
            <v>7014</v>
          </cell>
          <cell r="C56" t="str">
            <v>T2-Mata de Nance</v>
          </cell>
          <cell r="D56" t="str">
            <v>T2-MDN</v>
          </cell>
          <cell r="E56">
            <v>4</v>
          </cell>
        </row>
        <row r="57">
          <cell r="A57">
            <v>7015</v>
          </cell>
          <cell r="C57" t="str">
            <v>T3-Mata de Nance</v>
          </cell>
          <cell r="D57" t="str">
            <v>T3-MDN</v>
          </cell>
          <cell r="E57">
            <v>5</v>
          </cell>
        </row>
        <row r="58">
          <cell r="A58">
            <v>7016</v>
          </cell>
          <cell r="C58" t="str">
            <v>T1-Changuinola</v>
          </cell>
          <cell r="D58" t="str">
            <v>T1-CHA</v>
          </cell>
          <cell r="E58">
            <v>10</v>
          </cell>
        </row>
        <row r="59">
          <cell r="A59">
            <v>7017</v>
          </cell>
          <cell r="C59" t="str">
            <v>T2-Changuinola</v>
          </cell>
          <cell r="D59" t="str">
            <v>T2-CHA</v>
          </cell>
          <cell r="E59">
            <v>10</v>
          </cell>
        </row>
      </sheetData>
      <sheetData sheetId="2">
        <row r="2">
          <cell r="C2">
            <v>230</v>
          </cell>
          <cell r="F2" t="str">
            <v>S</v>
          </cell>
          <cell r="G2">
            <v>13.09</v>
          </cell>
        </row>
        <row r="3">
          <cell r="C3">
            <v>230</v>
          </cell>
          <cell r="F3" t="str">
            <v>S</v>
          </cell>
          <cell r="G3">
            <v>13.09</v>
          </cell>
        </row>
        <row r="4">
          <cell r="C4">
            <v>230</v>
          </cell>
          <cell r="F4" t="str">
            <v>S</v>
          </cell>
          <cell r="G4">
            <v>40.479999999999997</v>
          </cell>
        </row>
        <row r="5">
          <cell r="C5">
            <v>230</v>
          </cell>
          <cell r="F5" t="str">
            <v>SD</v>
          </cell>
          <cell r="G5">
            <v>38.07</v>
          </cell>
        </row>
        <row r="6">
          <cell r="C6">
            <v>230</v>
          </cell>
          <cell r="F6" t="str">
            <v>SD</v>
          </cell>
          <cell r="G6">
            <v>38.07</v>
          </cell>
        </row>
        <row r="7">
          <cell r="C7">
            <v>230</v>
          </cell>
          <cell r="F7" t="str">
            <v>S</v>
          </cell>
          <cell r="G7">
            <v>40.479999999999997</v>
          </cell>
        </row>
        <row r="8">
          <cell r="C8" t="str">
            <v>TX</v>
          </cell>
          <cell r="F8" t="str">
            <v>S</v>
          </cell>
        </row>
        <row r="9">
          <cell r="C9" t="str">
            <v>TX</v>
          </cell>
          <cell r="F9" t="str">
            <v>S</v>
          </cell>
        </row>
        <row r="10">
          <cell r="C10" t="str">
            <v>TX</v>
          </cell>
          <cell r="F10" t="str">
            <v>S</v>
          </cell>
        </row>
        <row r="11">
          <cell r="C11" t="str">
            <v>TX</v>
          </cell>
          <cell r="F11" t="str">
            <v>S</v>
          </cell>
        </row>
        <row r="12">
          <cell r="C12">
            <v>115</v>
          </cell>
          <cell r="F12" t="str">
            <v>S</v>
          </cell>
          <cell r="G12">
            <v>0.81</v>
          </cell>
        </row>
        <row r="13">
          <cell r="C13">
            <v>115</v>
          </cell>
          <cell r="F13" t="str">
            <v>S</v>
          </cell>
          <cell r="G13">
            <v>0.81</v>
          </cell>
        </row>
        <row r="14">
          <cell r="C14">
            <v>115</v>
          </cell>
          <cell r="F14" t="str">
            <v>S</v>
          </cell>
          <cell r="G14">
            <v>0.81</v>
          </cell>
        </row>
        <row r="15">
          <cell r="C15">
            <v>115</v>
          </cell>
          <cell r="F15" t="str">
            <v>S</v>
          </cell>
          <cell r="G15">
            <v>22.85</v>
          </cell>
        </row>
        <row r="16">
          <cell r="C16">
            <v>115</v>
          </cell>
          <cell r="F16" t="str">
            <v>S</v>
          </cell>
          <cell r="G16">
            <v>31.18</v>
          </cell>
        </row>
        <row r="17">
          <cell r="C17" t="str">
            <v>TX</v>
          </cell>
          <cell r="F17" t="str">
            <v>S</v>
          </cell>
        </row>
        <row r="18">
          <cell r="C18" t="str">
            <v>TX</v>
          </cell>
          <cell r="F18" t="str">
            <v>S</v>
          </cell>
        </row>
        <row r="19">
          <cell r="C19" t="str">
            <v>TX</v>
          </cell>
          <cell r="F19" t="str">
            <v>S</v>
          </cell>
        </row>
        <row r="20">
          <cell r="C20" t="str">
            <v>TX</v>
          </cell>
          <cell r="F20" t="str">
            <v>S</v>
          </cell>
        </row>
        <row r="21">
          <cell r="C21">
            <v>230</v>
          </cell>
          <cell r="F21" t="str">
            <v>S</v>
          </cell>
          <cell r="G21">
            <v>19.010000000000002</v>
          </cell>
        </row>
        <row r="22">
          <cell r="C22">
            <v>230</v>
          </cell>
          <cell r="F22" t="str">
            <v>S</v>
          </cell>
          <cell r="G22">
            <v>151.16999999999999</v>
          </cell>
        </row>
        <row r="23">
          <cell r="C23">
            <v>230</v>
          </cell>
          <cell r="F23" t="str">
            <v>S</v>
          </cell>
          <cell r="G23">
            <v>10.67</v>
          </cell>
        </row>
        <row r="24">
          <cell r="C24">
            <v>230</v>
          </cell>
          <cell r="F24" t="str">
            <v>S</v>
          </cell>
          <cell r="G24">
            <v>33.950000000000003</v>
          </cell>
        </row>
        <row r="25">
          <cell r="C25" t="str">
            <v>TX</v>
          </cell>
          <cell r="F25" t="str">
            <v>S</v>
          </cell>
        </row>
        <row r="26">
          <cell r="C26" t="str">
            <v>TX</v>
          </cell>
          <cell r="F26" t="str">
            <v>S</v>
          </cell>
        </row>
        <row r="27">
          <cell r="C27" t="str">
            <v>TX</v>
          </cell>
          <cell r="F27" t="str">
            <v>S</v>
          </cell>
        </row>
        <row r="28">
          <cell r="C28" t="str">
            <v>TX</v>
          </cell>
          <cell r="F28" t="str">
            <v>S</v>
          </cell>
        </row>
        <row r="29">
          <cell r="C29" t="str">
            <v>TX</v>
          </cell>
          <cell r="F29" t="str">
            <v>S</v>
          </cell>
        </row>
        <row r="30">
          <cell r="C30" t="str">
            <v>TX</v>
          </cell>
          <cell r="F30" t="str">
            <v>S</v>
          </cell>
        </row>
        <row r="31">
          <cell r="C31">
            <v>230</v>
          </cell>
          <cell r="F31" t="str">
            <v>S</v>
          </cell>
          <cell r="G31">
            <v>60.81</v>
          </cell>
        </row>
        <row r="32">
          <cell r="C32">
            <v>230</v>
          </cell>
          <cell r="F32" t="str">
            <v>S</v>
          </cell>
          <cell r="G32">
            <v>60.81</v>
          </cell>
        </row>
        <row r="33">
          <cell r="C33">
            <v>230</v>
          </cell>
          <cell r="F33" t="str">
            <v>SD</v>
          </cell>
          <cell r="G33">
            <v>95.2</v>
          </cell>
        </row>
        <row r="34">
          <cell r="C34">
            <v>230</v>
          </cell>
          <cell r="F34" t="str">
            <v>SD</v>
          </cell>
          <cell r="G34">
            <v>60.99</v>
          </cell>
        </row>
        <row r="35">
          <cell r="C35">
            <v>230</v>
          </cell>
          <cell r="F35" t="str">
            <v>SD</v>
          </cell>
          <cell r="G35">
            <v>156.19</v>
          </cell>
        </row>
        <row r="36">
          <cell r="C36">
            <v>230</v>
          </cell>
          <cell r="F36" t="str">
            <v>SD</v>
          </cell>
          <cell r="G36">
            <v>111.38</v>
          </cell>
        </row>
        <row r="37">
          <cell r="C37">
            <v>230</v>
          </cell>
          <cell r="F37" t="str">
            <v>SD</v>
          </cell>
          <cell r="G37">
            <v>111.38</v>
          </cell>
        </row>
        <row r="38">
          <cell r="C38">
            <v>230</v>
          </cell>
          <cell r="F38" t="str">
            <v>S</v>
          </cell>
          <cell r="G38">
            <v>110.65</v>
          </cell>
        </row>
        <row r="39">
          <cell r="C39">
            <v>230</v>
          </cell>
          <cell r="F39" t="str">
            <v>S</v>
          </cell>
          <cell r="G39">
            <v>81.93</v>
          </cell>
        </row>
        <row r="40">
          <cell r="C40">
            <v>230</v>
          </cell>
          <cell r="F40" t="str">
            <v>S</v>
          </cell>
          <cell r="G40">
            <v>81.93</v>
          </cell>
        </row>
        <row r="41">
          <cell r="C41">
            <v>230</v>
          </cell>
          <cell r="F41" t="str">
            <v>S</v>
          </cell>
          <cell r="G41">
            <v>44.65</v>
          </cell>
        </row>
        <row r="42">
          <cell r="C42">
            <v>230</v>
          </cell>
          <cell r="F42" t="str">
            <v>S</v>
          </cell>
          <cell r="G42">
            <v>44.65</v>
          </cell>
        </row>
        <row r="43">
          <cell r="C43">
            <v>230</v>
          </cell>
          <cell r="F43" t="str">
            <v>S</v>
          </cell>
          <cell r="G43">
            <v>68.2</v>
          </cell>
        </row>
        <row r="44">
          <cell r="C44">
            <v>230</v>
          </cell>
          <cell r="F44" t="str">
            <v>S</v>
          </cell>
          <cell r="G44">
            <v>68.2</v>
          </cell>
        </row>
        <row r="45">
          <cell r="C45">
            <v>230</v>
          </cell>
          <cell r="F45" t="str">
            <v>S</v>
          </cell>
          <cell r="G45">
            <v>107.97</v>
          </cell>
        </row>
        <row r="46">
          <cell r="C46" t="str">
            <v>TX</v>
          </cell>
          <cell r="F46" t="str">
            <v>S</v>
          </cell>
        </row>
        <row r="47">
          <cell r="C47" t="str">
            <v>TX</v>
          </cell>
          <cell r="F47" t="str">
            <v>S</v>
          </cell>
        </row>
        <row r="48">
          <cell r="C48" t="str">
            <v>TX</v>
          </cell>
          <cell r="F48" t="str">
            <v>S</v>
          </cell>
        </row>
        <row r="49">
          <cell r="C49" t="str">
            <v>TX</v>
          </cell>
          <cell r="F49" t="str">
            <v>S</v>
          </cell>
        </row>
        <row r="50">
          <cell r="C50" t="str">
            <v>TX</v>
          </cell>
          <cell r="F50" t="str">
            <v>S</v>
          </cell>
        </row>
        <row r="51">
          <cell r="C51" t="str">
            <v>TX</v>
          </cell>
          <cell r="F51" t="str">
            <v>S</v>
          </cell>
        </row>
        <row r="52">
          <cell r="C52" t="str">
            <v>TX</v>
          </cell>
          <cell r="F52" t="str">
            <v>S</v>
          </cell>
        </row>
        <row r="53">
          <cell r="C53" t="str">
            <v>TX</v>
          </cell>
          <cell r="F53" t="str">
            <v>S</v>
          </cell>
        </row>
        <row r="54">
          <cell r="C54">
            <v>230</v>
          </cell>
          <cell r="F54" t="str">
            <v>S</v>
          </cell>
          <cell r="G54">
            <v>37.72</v>
          </cell>
        </row>
        <row r="55">
          <cell r="C55">
            <v>230</v>
          </cell>
          <cell r="F55" t="str">
            <v>S</v>
          </cell>
          <cell r="G55">
            <v>37.72</v>
          </cell>
        </row>
        <row r="56">
          <cell r="C56">
            <v>230</v>
          </cell>
          <cell r="F56" t="str">
            <v>S</v>
          </cell>
          <cell r="G56">
            <v>85.6</v>
          </cell>
        </row>
        <row r="57">
          <cell r="C57">
            <v>230</v>
          </cell>
          <cell r="F57" t="str">
            <v>S</v>
          </cell>
          <cell r="G57">
            <v>85.6</v>
          </cell>
        </row>
        <row r="58">
          <cell r="C58">
            <v>230</v>
          </cell>
          <cell r="F58" t="str">
            <v>S</v>
          </cell>
          <cell r="G58">
            <v>24.17</v>
          </cell>
        </row>
        <row r="59">
          <cell r="C59" t="str">
            <v>TX</v>
          </cell>
          <cell r="F59" t="str">
            <v>S</v>
          </cell>
        </row>
        <row r="60">
          <cell r="C60" t="str">
            <v>TX</v>
          </cell>
          <cell r="F60" t="str">
            <v>S</v>
          </cell>
        </row>
        <row r="61">
          <cell r="C61" t="str">
            <v>TX</v>
          </cell>
          <cell r="F61" t="str">
            <v>S</v>
          </cell>
        </row>
        <row r="62">
          <cell r="C62">
            <v>115</v>
          </cell>
          <cell r="F62" t="str">
            <v>S</v>
          </cell>
          <cell r="G62">
            <v>25.32</v>
          </cell>
        </row>
        <row r="63">
          <cell r="C63">
            <v>115</v>
          </cell>
          <cell r="F63" t="str">
            <v>S</v>
          </cell>
          <cell r="G63">
            <v>25.32</v>
          </cell>
        </row>
        <row r="64">
          <cell r="C64" t="str">
            <v>TX</v>
          </cell>
          <cell r="F64" t="str">
            <v>S</v>
          </cell>
        </row>
        <row r="65">
          <cell r="C65" t="str">
            <v>TX</v>
          </cell>
          <cell r="F65" t="str">
            <v>S</v>
          </cell>
        </row>
        <row r="66">
          <cell r="C66" t="str">
            <v>TX</v>
          </cell>
          <cell r="F66" t="str">
            <v>S</v>
          </cell>
        </row>
        <row r="67">
          <cell r="C67" t="str">
            <v>TX</v>
          </cell>
          <cell r="F67" t="str">
            <v>S</v>
          </cell>
        </row>
        <row r="68">
          <cell r="C68" t="str">
            <v>TX</v>
          </cell>
          <cell r="F68" t="str">
            <v>S</v>
          </cell>
        </row>
        <row r="69">
          <cell r="C69" t="str">
            <v>TX</v>
          </cell>
          <cell r="F69" t="str">
            <v>S</v>
          </cell>
        </row>
        <row r="70">
          <cell r="C70">
            <v>230</v>
          </cell>
          <cell r="F70" t="str">
            <v>S</v>
          </cell>
          <cell r="G70">
            <v>29.95</v>
          </cell>
        </row>
        <row r="71">
          <cell r="C71">
            <v>115</v>
          </cell>
          <cell r="F71" t="str">
            <v>S</v>
          </cell>
          <cell r="G71">
            <v>47.81</v>
          </cell>
        </row>
        <row r="72">
          <cell r="C72">
            <v>115</v>
          </cell>
          <cell r="F72" t="str">
            <v>S</v>
          </cell>
          <cell r="G72">
            <v>47.81</v>
          </cell>
        </row>
        <row r="73">
          <cell r="C73">
            <v>115</v>
          </cell>
          <cell r="F73" t="str">
            <v>S</v>
          </cell>
          <cell r="G73">
            <v>32.08</v>
          </cell>
        </row>
        <row r="74">
          <cell r="C74">
            <v>115</v>
          </cell>
          <cell r="F74" t="str">
            <v>S</v>
          </cell>
          <cell r="G74">
            <v>6.9</v>
          </cell>
        </row>
        <row r="75">
          <cell r="C75">
            <v>115</v>
          </cell>
          <cell r="F75" t="str">
            <v>S</v>
          </cell>
          <cell r="G75">
            <v>0.96</v>
          </cell>
        </row>
        <row r="76">
          <cell r="C76">
            <v>115</v>
          </cell>
          <cell r="F76" t="str">
            <v>S</v>
          </cell>
          <cell r="G76">
            <v>25.41</v>
          </cell>
        </row>
        <row r="77">
          <cell r="C77">
            <v>230</v>
          </cell>
          <cell r="F77" t="str">
            <v>S</v>
          </cell>
          <cell r="G77">
            <v>16.399999999999999</v>
          </cell>
        </row>
        <row r="78">
          <cell r="C78">
            <v>230</v>
          </cell>
          <cell r="F78" t="str">
            <v>S</v>
          </cell>
          <cell r="G78">
            <v>97.4</v>
          </cell>
        </row>
        <row r="79">
          <cell r="C79">
            <v>230</v>
          </cell>
          <cell r="F79" t="str">
            <v>S</v>
          </cell>
          <cell r="G79">
            <v>50.88</v>
          </cell>
        </row>
        <row r="80">
          <cell r="C80">
            <v>230</v>
          </cell>
          <cell r="F80" t="str">
            <v>S</v>
          </cell>
          <cell r="G80">
            <v>60.53</v>
          </cell>
        </row>
        <row r="81">
          <cell r="C81">
            <v>115</v>
          </cell>
          <cell r="F81" t="str">
            <v>S</v>
          </cell>
          <cell r="G81">
            <v>6.69</v>
          </cell>
        </row>
        <row r="82">
          <cell r="C82">
            <v>230</v>
          </cell>
          <cell r="F82" t="str">
            <v>S</v>
          </cell>
          <cell r="G82">
            <v>84.81</v>
          </cell>
        </row>
        <row r="83">
          <cell r="C83">
            <v>230</v>
          </cell>
          <cell r="F83" t="str">
            <v>S</v>
          </cell>
          <cell r="G83">
            <v>84.81</v>
          </cell>
        </row>
        <row r="84">
          <cell r="C84">
            <v>230</v>
          </cell>
          <cell r="F84" t="str">
            <v>S</v>
          </cell>
          <cell r="G84">
            <v>42.89</v>
          </cell>
        </row>
        <row r="85">
          <cell r="C85">
            <v>230</v>
          </cell>
          <cell r="F85" t="str">
            <v>S</v>
          </cell>
          <cell r="G85">
            <v>42.89</v>
          </cell>
        </row>
        <row r="86">
          <cell r="C86">
            <v>230</v>
          </cell>
          <cell r="F86" t="str">
            <v>S</v>
          </cell>
          <cell r="G86">
            <v>8.66</v>
          </cell>
        </row>
        <row r="87">
          <cell r="C87">
            <v>230</v>
          </cell>
          <cell r="F87" t="str">
            <v>S</v>
          </cell>
          <cell r="G87">
            <v>24.66</v>
          </cell>
        </row>
        <row r="88">
          <cell r="C88">
            <v>230</v>
          </cell>
          <cell r="F88" t="str">
            <v>S</v>
          </cell>
          <cell r="G88">
            <v>78.38</v>
          </cell>
        </row>
        <row r="89">
          <cell r="C89" t="str">
            <v>TX</v>
          </cell>
          <cell r="F89" t="str">
            <v>S</v>
          </cell>
        </row>
        <row r="90">
          <cell r="C90" t="str">
            <v>TX</v>
          </cell>
          <cell r="F90" t="str">
            <v>S</v>
          </cell>
        </row>
        <row r="91">
          <cell r="C91" t="str">
            <v>TX</v>
          </cell>
          <cell r="F91" t="str">
            <v>S</v>
          </cell>
        </row>
        <row r="92">
          <cell r="C92" t="str">
            <v>TX</v>
          </cell>
          <cell r="F92" t="str">
            <v>S</v>
          </cell>
        </row>
        <row r="93">
          <cell r="C93" t="str">
            <v>TX</v>
          </cell>
          <cell r="F93" t="str">
            <v>S</v>
          </cell>
        </row>
        <row r="94">
          <cell r="C94" t="str">
            <v>TX</v>
          </cell>
          <cell r="F94" t="str">
            <v>S</v>
          </cell>
        </row>
        <row r="95">
          <cell r="C95">
            <v>230</v>
          </cell>
          <cell r="F95" t="str">
            <v>S</v>
          </cell>
          <cell r="G95">
            <v>45.57</v>
          </cell>
        </row>
        <row r="96">
          <cell r="C96">
            <v>230</v>
          </cell>
          <cell r="F96" t="str">
            <v>S</v>
          </cell>
          <cell r="G96">
            <v>117.22</v>
          </cell>
        </row>
        <row r="97">
          <cell r="C97">
            <v>230</v>
          </cell>
          <cell r="F97" t="str">
            <v>S</v>
          </cell>
          <cell r="G97">
            <v>48.35</v>
          </cell>
        </row>
        <row r="98">
          <cell r="C98">
            <v>230</v>
          </cell>
          <cell r="F98" t="str">
            <v>S</v>
          </cell>
          <cell r="G98">
            <v>48.35</v>
          </cell>
        </row>
      </sheetData>
      <sheetData sheetId="3"/>
      <sheetData sheetId="4">
        <row r="3">
          <cell r="E3" t="str">
            <v xml:space="preserve"> 2.- Día Semihábil (sábado):</v>
          </cell>
        </row>
      </sheetData>
      <sheetData sheetId="5">
        <row r="2">
          <cell r="L2">
            <v>0</v>
          </cell>
        </row>
        <row r="17">
          <cell r="L17">
            <v>0</v>
          </cell>
        </row>
      </sheetData>
      <sheetData sheetId="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Nod"/>
      <sheetName val="Ram"/>
      <sheetName val="%USO"/>
      <sheetName val="Dias"/>
      <sheetName val="ENERGIA"/>
      <sheetName val="ENSA"/>
      <sheetName val="1. DatosFijos"/>
    </sheetNames>
    <sheetDataSet>
      <sheetData sheetId="0">
        <row r="1">
          <cell r="B1">
            <v>3</v>
          </cell>
          <cell r="C1" t="str">
            <v>2022-2023</v>
          </cell>
        </row>
        <row r="3">
          <cell r="B3">
            <v>57227.8459584394</v>
          </cell>
          <cell r="D3">
            <v>2479.0600000000009</v>
          </cell>
        </row>
        <row r="4">
          <cell r="B4">
            <v>48944.11489363655</v>
          </cell>
          <cell r="D4">
            <v>2204.3000000000006</v>
          </cell>
          <cell r="F4">
            <v>22.203926368296756</v>
          </cell>
        </row>
        <row r="5">
          <cell r="B5">
            <v>8283.7310648028524</v>
          </cell>
          <cell r="D5">
            <v>274.76000000000005</v>
          </cell>
          <cell r="F5">
            <v>30.148970246043277</v>
          </cell>
        </row>
        <row r="7">
          <cell r="B7">
            <v>36690.579958236798</v>
          </cell>
          <cell r="C7">
            <v>1</v>
          </cell>
          <cell r="D7">
            <v>611.28</v>
          </cell>
          <cell r="E7">
            <v>1</v>
          </cell>
          <cell r="F7">
            <v>60.022542792561183</v>
          </cell>
          <cell r="G7" t="str">
            <v>(230 kV)</v>
          </cell>
        </row>
        <row r="11">
          <cell r="B11">
            <v>320.07000000000005</v>
          </cell>
          <cell r="C11">
            <v>548.69000000000005</v>
          </cell>
          <cell r="D11">
            <v>152.99</v>
          </cell>
          <cell r="E11">
            <v>405.78000000000003</v>
          </cell>
          <cell r="F11">
            <v>978.46999999999991</v>
          </cell>
          <cell r="G11">
            <v>147</v>
          </cell>
          <cell r="H11">
            <v>159.33000000000001</v>
          </cell>
          <cell r="I11">
            <v>260</v>
          </cell>
          <cell r="J11">
            <v>740.25</v>
          </cell>
          <cell r="K11">
            <v>252.17</v>
          </cell>
        </row>
        <row r="12">
          <cell r="B12">
            <v>20.143945782958362</v>
          </cell>
          <cell r="C12">
            <v>0</v>
          </cell>
          <cell r="D12">
            <v>9.2524865931485331E-2</v>
          </cell>
          <cell r="E12">
            <v>119.48122302839568</v>
          </cell>
          <cell r="F12">
            <v>608.94066082599772</v>
          </cell>
          <cell r="G12">
            <v>199.17893333333333</v>
          </cell>
          <cell r="H12">
            <v>1159.9379902241108</v>
          </cell>
          <cell r="I12">
            <v>1.33</v>
          </cell>
          <cell r="J12">
            <v>153.73000000000002</v>
          </cell>
          <cell r="K12">
            <v>72.75112541961515</v>
          </cell>
        </row>
      </sheetData>
      <sheetData sheetId="1">
        <row r="3">
          <cell r="A3">
            <v>6002</v>
          </cell>
          <cell r="B3">
            <v>115</v>
          </cell>
          <cell r="C3" t="str">
            <v>Panamá 115</v>
          </cell>
          <cell r="D3" t="str">
            <v>PAN115</v>
          </cell>
          <cell r="E3">
            <v>7</v>
          </cell>
        </row>
        <row r="4">
          <cell r="A4">
            <v>6003</v>
          </cell>
          <cell r="B4">
            <v>230</v>
          </cell>
          <cell r="C4" t="str">
            <v>Panamá II 230</v>
          </cell>
          <cell r="D4" t="str">
            <v>PANII230</v>
          </cell>
          <cell r="E4">
            <v>7</v>
          </cell>
        </row>
        <row r="5">
          <cell r="A5">
            <v>6004</v>
          </cell>
          <cell r="B5">
            <v>115</v>
          </cell>
          <cell r="C5" t="str">
            <v>Panamá II 115</v>
          </cell>
          <cell r="D5" t="str">
            <v>PANII115</v>
          </cell>
          <cell r="E5">
            <v>7</v>
          </cell>
        </row>
        <row r="6">
          <cell r="A6">
            <v>6005</v>
          </cell>
          <cell r="B6">
            <v>230</v>
          </cell>
          <cell r="C6" t="str">
            <v>Chorrera 230</v>
          </cell>
          <cell r="D6" t="str">
            <v>CHO230</v>
          </cell>
          <cell r="E6">
            <v>6</v>
          </cell>
        </row>
        <row r="7">
          <cell r="A7">
            <v>6008</v>
          </cell>
          <cell r="B7">
            <v>230</v>
          </cell>
          <cell r="C7" t="str">
            <v>Llano Sánchez 230</v>
          </cell>
          <cell r="D7" t="str">
            <v>LSA230</v>
          </cell>
          <cell r="E7">
            <v>5</v>
          </cell>
        </row>
        <row r="8">
          <cell r="A8">
            <v>6009</v>
          </cell>
          <cell r="B8">
            <v>115</v>
          </cell>
          <cell r="C8" t="str">
            <v>Llano Sánchez 115</v>
          </cell>
          <cell r="D8" t="str">
            <v>LSA115</v>
          </cell>
          <cell r="E8">
            <v>5</v>
          </cell>
        </row>
        <row r="9">
          <cell r="A9">
            <v>6010</v>
          </cell>
          <cell r="B9">
            <v>34.5</v>
          </cell>
          <cell r="C9" t="str">
            <v>Llano Sánchez 34.5</v>
          </cell>
          <cell r="D9" t="str">
            <v>LSA34</v>
          </cell>
          <cell r="E9">
            <v>5</v>
          </cell>
        </row>
        <row r="10">
          <cell r="A10">
            <v>6011</v>
          </cell>
          <cell r="B10">
            <v>230</v>
          </cell>
          <cell r="C10" t="str">
            <v>Mata de Nance 230</v>
          </cell>
          <cell r="D10" t="str">
            <v>MDN230</v>
          </cell>
          <cell r="E10">
            <v>4</v>
          </cell>
        </row>
        <row r="11">
          <cell r="A11">
            <v>6012</v>
          </cell>
          <cell r="B11">
            <v>115</v>
          </cell>
          <cell r="C11" t="str">
            <v>Mata de Nance 115</v>
          </cell>
          <cell r="D11" t="str">
            <v>MDN115</v>
          </cell>
          <cell r="E11">
            <v>4</v>
          </cell>
        </row>
        <row r="12">
          <cell r="A12">
            <v>6013</v>
          </cell>
          <cell r="B12">
            <v>34.5</v>
          </cell>
          <cell r="C12" t="str">
            <v>Mata de Nance 34.5</v>
          </cell>
          <cell r="D12" t="str">
            <v>MDN34</v>
          </cell>
          <cell r="E12">
            <v>4</v>
          </cell>
        </row>
        <row r="13">
          <cell r="A13">
            <v>6014</v>
          </cell>
          <cell r="B13">
            <v>230</v>
          </cell>
          <cell r="C13" t="str">
            <v>Progreso 230</v>
          </cell>
          <cell r="D13" t="str">
            <v>PRO230</v>
          </cell>
          <cell r="E13">
            <v>1</v>
          </cell>
        </row>
        <row r="14">
          <cell r="A14">
            <v>6018</v>
          </cell>
          <cell r="B14">
            <v>115</v>
          </cell>
          <cell r="C14" t="str">
            <v>Cáceres</v>
          </cell>
          <cell r="D14" t="str">
            <v>CAC115</v>
          </cell>
          <cell r="E14">
            <v>7</v>
          </cell>
        </row>
        <row r="15">
          <cell r="A15">
            <v>6024</v>
          </cell>
          <cell r="B15">
            <v>115</v>
          </cell>
          <cell r="C15" t="str">
            <v>Chilibre</v>
          </cell>
          <cell r="D15" t="str">
            <v>CHI115</v>
          </cell>
          <cell r="E15">
            <v>7</v>
          </cell>
        </row>
        <row r="16">
          <cell r="A16">
            <v>6059</v>
          </cell>
          <cell r="B16">
            <v>115</v>
          </cell>
          <cell r="C16" t="str">
            <v>Las Minas 1</v>
          </cell>
          <cell r="D16" t="str">
            <v>LM1115</v>
          </cell>
          <cell r="E16">
            <v>9</v>
          </cell>
        </row>
        <row r="17">
          <cell r="A17">
            <v>6060</v>
          </cell>
          <cell r="B17">
            <v>115</v>
          </cell>
          <cell r="C17" t="str">
            <v>Las Minas 2</v>
          </cell>
          <cell r="D17" t="str">
            <v>LM2115</v>
          </cell>
          <cell r="E17">
            <v>9</v>
          </cell>
        </row>
        <row r="18">
          <cell r="A18">
            <v>6087</v>
          </cell>
          <cell r="B18">
            <v>115</v>
          </cell>
          <cell r="C18" t="str">
            <v>Caldera</v>
          </cell>
          <cell r="D18" t="str">
            <v>CAL115</v>
          </cell>
          <cell r="E18">
            <v>3</v>
          </cell>
        </row>
        <row r="19">
          <cell r="A19">
            <v>6096</v>
          </cell>
          <cell r="B19">
            <v>230</v>
          </cell>
          <cell r="C19" t="str">
            <v>Fortuna</v>
          </cell>
          <cell r="D19" t="str">
            <v>FOR230</v>
          </cell>
          <cell r="E19">
            <v>2</v>
          </cell>
        </row>
        <row r="20">
          <cell r="A20">
            <v>6100</v>
          </cell>
          <cell r="B20">
            <v>230</v>
          </cell>
          <cell r="C20" t="str">
            <v>Bayano</v>
          </cell>
          <cell r="D20" t="str">
            <v>BAY230</v>
          </cell>
          <cell r="E20">
            <v>8</v>
          </cell>
        </row>
        <row r="21">
          <cell r="A21">
            <v>6170</v>
          </cell>
          <cell r="B21">
            <v>115</v>
          </cell>
          <cell r="C21" t="str">
            <v>Cemento Panamá</v>
          </cell>
          <cell r="D21" t="str">
            <v>CPA115</v>
          </cell>
          <cell r="E21">
            <v>9</v>
          </cell>
        </row>
        <row r="22">
          <cell r="A22">
            <v>6171</v>
          </cell>
          <cell r="B22">
            <v>230</v>
          </cell>
          <cell r="C22" t="str">
            <v>Pacora</v>
          </cell>
          <cell r="D22" t="str">
            <v>PAC230</v>
          </cell>
          <cell r="E22">
            <v>7</v>
          </cell>
        </row>
        <row r="23">
          <cell r="A23">
            <v>6173</v>
          </cell>
          <cell r="B23">
            <v>115</v>
          </cell>
          <cell r="C23" t="str">
            <v>Santa Rita</v>
          </cell>
          <cell r="D23" t="str">
            <v>STR115</v>
          </cell>
          <cell r="E23">
            <v>9</v>
          </cell>
        </row>
        <row r="24">
          <cell r="A24">
            <v>6179</v>
          </cell>
          <cell r="B24">
            <v>230</v>
          </cell>
          <cell r="C24" t="str">
            <v>Guasquitas</v>
          </cell>
          <cell r="D24" t="str">
            <v>GUA230</v>
          </cell>
          <cell r="E24">
            <v>2</v>
          </cell>
        </row>
        <row r="25">
          <cell r="A25">
            <v>6182</v>
          </cell>
          <cell r="B25">
            <v>230</v>
          </cell>
          <cell r="C25" t="str">
            <v>Veladero</v>
          </cell>
          <cell r="D25" t="str">
            <v>VEL230</v>
          </cell>
          <cell r="E25">
            <v>4</v>
          </cell>
        </row>
        <row r="26">
          <cell r="A26">
            <v>6240</v>
          </cell>
          <cell r="B26">
            <v>230</v>
          </cell>
          <cell r="C26" t="str">
            <v>El Higo</v>
          </cell>
          <cell r="D26" t="str">
            <v>EHIG230</v>
          </cell>
          <cell r="E26">
            <v>5</v>
          </cell>
        </row>
        <row r="27">
          <cell r="A27">
            <v>6260</v>
          </cell>
          <cell r="B27">
            <v>230</v>
          </cell>
          <cell r="C27" t="str">
            <v>Changuinola</v>
          </cell>
          <cell r="D27" t="str">
            <v>CHA230</v>
          </cell>
          <cell r="E27">
            <v>10</v>
          </cell>
        </row>
        <row r="28">
          <cell r="A28">
            <v>6261</v>
          </cell>
          <cell r="B28">
            <v>115</v>
          </cell>
          <cell r="C28" t="str">
            <v>Changuinola 115</v>
          </cell>
          <cell r="D28" t="str">
            <v>CHA115</v>
          </cell>
          <cell r="E28">
            <v>10</v>
          </cell>
        </row>
        <row r="29">
          <cell r="A29">
            <v>6262</v>
          </cell>
          <cell r="B29">
            <v>34.5</v>
          </cell>
          <cell r="C29" t="str">
            <v>Changuinola 34.5</v>
          </cell>
          <cell r="D29" t="str">
            <v>CHA34</v>
          </cell>
          <cell r="E29">
            <v>10</v>
          </cell>
        </row>
        <row r="30">
          <cell r="A30">
            <v>6263</v>
          </cell>
          <cell r="B30">
            <v>230</v>
          </cell>
          <cell r="C30" t="str">
            <v>La Esperanza</v>
          </cell>
          <cell r="D30" t="str">
            <v>ESP230</v>
          </cell>
          <cell r="E30">
            <v>10</v>
          </cell>
        </row>
        <row r="31">
          <cell r="A31">
            <v>6290</v>
          </cell>
          <cell r="B31">
            <v>115</v>
          </cell>
          <cell r="C31" t="str">
            <v>Cativá II</v>
          </cell>
          <cell r="D31" t="str">
            <v>CATII115</v>
          </cell>
          <cell r="E31">
            <v>9</v>
          </cell>
        </row>
        <row r="32">
          <cell r="A32">
            <v>6340</v>
          </cell>
          <cell r="B32">
            <v>230</v>
          </cell>
          <cell r="C32" t="str">
            <v>Cañazas</v>
          </cell>
          <cell r="D32" t="str">
            <v>CAN230</v>
          </cell>
          <cell r="E32">
            <v>10</v>
          </cell>
        </row>
        <row r="33">
          <cell r="A33">
            <v>6380</v>
          </cell>
          <cell r="B33">
            <v>230</v>
          </cell>
          <cell r="C33" t="str">
            <v>Boquerón III</v>
          </cell>
          <cell r="D33" t="str">
            <v>BOQIII230</v>
          </cell>
          <cell r="E33">
            <v>4</v>
          </cell>
        </row>
        <row r="34">
          <cell r="A34">
            <v>6460</v>
          </cell>
          <cell r="B34">
            <v>230</v>
          </cell>
          <cell r="C34" t="str">
            <v>El Coco</v>
          </cell>
          <cell r="D34" t="str">
            <v>ECO230</v>
          </cell>
          <cell r="E34">
            <v>5</v>
          </cell>
        </row>
        <row r="35">
          <cell r="A35">
            <v>6470</v>
          </cell>
          <cell r="B35">
            <v>230</v>
          </cell>
          <cell r="C35" t="str">
            <v>24 de Diciembre</v>
          </cell>
          <cell r="D35" t="str">
            <v>24DIC230</v>
          </cell>
          <cell r="E35">
            <v>7</v>
          </cell>
        </row>
        <row r="36">
          <cell r="A36">
            <v>6520</v>
          </cell>
          <cell r="B36">
            <v>230</v>
          </cell>
          <cell r="C36" t="str">
            <v>San Bartolo</v>
          </cell>
          <cell r="D36" t="str">
            <v>SBA34</v>
          </cell>
          <cell r="E36">
            <v>4</v>
          </cell>
        </row>
        <row r="37">
          <cell r="A37">
            <v>6550</v>
          </cell>
          <cell r="B37">
            <v>230</v>
          </cell>
          <cell r="C37" t="str">
            <v>Bella Vista</v>
          </cell>
          <cell r="D37" t="str">
            <v>BEV230</v>
          </cell>
          <cell r="E37">
            <v>4</v>
          </cell>
        </row>
        <row r="38">
          <cell r="A38">
            <v>6713</v>
          </cell>
          <cell r="B38">
            <v>230</v>
          </cell>
          <cell r="C38" t="str">
            <v>Burunga</v>
          </cell>
          <cell r="D38" t="str">
            <v>BUR230</v>
          </cell>
          <cell r="E38">
            <v>6</v>
          </cell>
        </row>
        <row r="39">
          <cell r="A39">
            <v>6802</v>
          </cell>
          <cell r="B39">
            <v>230</v>
          </cell>
          <cell r="C39" t="str">
            <v>Costa Norte</v>
          </cell>
          <cell r="D39" t="str">
            <v>CNO230</v>
          </cell>
          <cell r="E39">
            <v>9</v>
          </cell>
        </row>
        <row r="40">
          <cell r="A40">
            <v>6803</v>
          </cell>
          <cell r="B40">
            <v>230</v>
          </cell>
          <cell r="C40" t="str">
            <v>Costa Norte</v>
          </cell>
          <cell r="D40" t="str">
            <v>CNO230</v>
          </cell>
          <cell r="E40">
            <v>9</v>
          </cell>
        </row>
        <row r="41">
          <cell r="A41">
            <v>6830</v>
          </cell>
          <cell r="B41">
            <v>230</v>
          </cell>
          <cell r="C41" t="str">
            <v>Antón</v>
          </cell>
          <cell r="D41" t="str">
            <v>ANT230</v>
          </cell>
          <cell r="E41">
            <v>6</v>
          </cell>
        </row>
        <row r="42">
          <cell r="A42">
            <v>7000</v>
          </cell>
          <cell r="C42" t="str">
            <v>T1-Panama</v>
          </cell>
          <cell r="D42" t="str">
            <v>T1-PAN</v>
          </cell>
          <cell r="E42">
            <v>7</v>
          </cell>
        </row>
        <row r="43">
          <cell r="A43">
            <v>7001</v>
          </cell>
          <cell r="C43" t="str">
            <v>T2-Panama</v>
          </cell>
          <cell r="D43" t="str">
            <v>T2-PAN</v>
          </cell>
          <cell r="E43">
            <v>7</v>
          </cell>
        </row>
        <row r="44">
          <cell r="A44">
            <v>7002</v>
          </cell>
          <cell r="C44" t="str">
            <v>T3-Panama</v>
          </cell>
          <cell r="D44" t="str">
            <v>T3-PAN</v>
          </cell>
          <cell r="E44">
            <v>7</v>
          </cell>
        </row>
        <row r="45">
          <cell r="A45">
            <v>7003</v>
          </cell>
          <cell r="C45" t="str">
            <v>T5-Panama</v>
          </cell>
          <cell r="D45" t="str">
            <v>T5-PAN</v>
          </cell>
          <cell r="E45">
            <v>7</v>
          </cell>
        </row>
        <row r="46">
          <cell r="A46">
            <v>7004</v>
          </cell>
          <cell r="C46" t="str">
            <v>T1-PanamaII</v>
          </cell>
          <cell r="D46" t="str">
            <v>T1-PANII</v>
          </cell>
          <cell r="E46">
            <v>7</v>
          </cell>
        </row>
        <row r="47">
          <cell r="A47">
            <v>7005</v>
          </cell>
          <cell r="C47" t="str">
            <v>T2-PanamaII</v>
          </cell>
          <cell r="D47" t="str">
            <v>T2-PANII</v>
          </cell>
          <cell r="E47">
            <v>7</v>
          </cell>
        </row>
        <row r="48">
          <cell r="A48">
            <v>7006</v>
          </cell>
          <cell r="C48" t="str">
            <v>T3-PanamaII</v>
          </cell>
          <cell r="D48" t="str">
            <v>T3-PANII</v>
          </cell>
          <cell r="E48">
            <v>7</v>
          </cell>
        </row>
        <row r="49">
          <cell r="A49">
            <v>7007</v>
          </cell>
          <cell r="C49" t="str">
            <v>T1-Chorrera</v>
          </cell>
          <cell r="D49" t="str">
            <v>T1-CHO</v>
          </cell>
          <cell r="E49">
            <v>6</v>
          </cell>
        </row>
        <row r="50">
          <cell r="A50">
            <v>7008</v>
          </cell>
          <cell r="C50" t="str">
            <v>T2-Chorrera</v>
          </cell>
          <cell r="D50" t="str">
            <v>T2-CHO</v>
          </cell>
          <cell r="E50">
            <v>6</v>
          </cell>
        </row>
        <row r="51">
          <cell r="A51">
            <v>7009</v>
          </cell>
          <cell r="C51" t="str">
            <v>T3-Chorrera</v>
          </cell>
          <cell r="D51" t="str">
            <v>T3-CHO</v>
          </cell>
          <cell r="E51">
            <v>6</v>
          </cell>
        </row>
        <row r="52">
          <cell r="A52">
            <v>7010</v>
          </cell>
          <cell r="C52" t="str">
            <v>T1-Llano Sanchez</v>
          </cell>
          <cell r="D52" t="str">
            <v>T1-LSA</v>
          </cell>
          <cell r="E52">
            <v>5</v>
          </cell>
        </row>
        <row r="53">
          <cell r="A53">
            <v>7011</v>
          </cell>
          <cell r="C53" t="str">
            <v>T2-Llano Sanchez</v>
          </cell>
          <cell r="D53" t="str">
            <v>T2-LSA</v>
          </cell>
          <cell r="E53">
            <v>5</v>
          </cell>
        </row>
        <row r="54">
          <cell r="A54">
            <v>7012</v>
          </cell>
          <cell r="C54" t="str">
            <v>T3-Llano Sanchez</v>
          </cell>
          <cell r="D54" t="str">
            <v>T3-LSA</v>
          </cell>
          <cell r="E54">
            <v>5</v>
          </cell>
        </row>
        <row r="55">
          <cell r="A55">
            <v>7013</v>
          </cell>
          <cell r="C55" t="str">
            <v>T1-Mata de Nance</v>
          </cell>
          <cell r="D55" t="str">
            <v>T1-MDN</v>
          </cell>
          <cell r="E55">
            <v>4</v>
          </cell>
        </row>
        <row r="56">
          <cell r="A56">
            <v>7014</v>
          </cell>
          <cell r="C56" t="str">
            <v>T2-Mata de Nance</v>
          </cell>
          <cell r="D56" t="str">
            <v>T2-MDN</v>
          </cell>
          <cell r="E56">
            <v>4</v>
          </cell>
        </row>
        <row r="57">
          <cell r="A57">
            <v>7015</v>
          </cell>
          <cell r="C57" t="str">
            <v>T3-Mata de Nance</v>
          </cell>
          <cell r="D57" t="str">
            <v>T3-MDN</v>
          </cell>
          <cell r="E57">
            <v>5</v>
          </cell>
        </row>
        <row r="58">
          <cell r="A58">
            <v>7016</v>
          </cell>
          <cell r="C58" t="str">
            <v>T1-Changuinola</v>
          </cell>
          <cell r="D58" t="str">
            <v>T1-CHA</v>
          </cell>
          <cell r="E58">
            <v>10</v>
          </cell>
        </row>
        <row r="59">
          <cell r="A59">
            <v>7017</v>
          </cell>
          <cell r="C59" t="str">
            <v>T2-Changuinola</v>
          </cell>
          <cell r="D59" t="str">
            <v>T2-CHA</v>
          </cell>
          <cell r="E59">
            <v>10</v>
          </cell>
        </row>
      </sheetData>
      <sheetData sheetId="2">
        <row r="2">
          <cell r="C2">
            <v>230</v>
          </cell>
          <cell r="F2" t="str">
            <v>S</v>
          </cell>
          <cell r="G2">
            <v>13.09</v>
          </cell>
        </row>
        <row r="3">
          <cell r="C3">
            <v>230</v>
          </cell>
          <cell r="F3" t="str">
            <v>S</v>
          </cell>
          <cell r="G3">
            <v>13.09</v>
          </cell>
        </row>
        <row r="4">
          <cell r="C4">
            <v>230</v>
          </cell>
          <cell r="F4" t="str">
            <v>S</v>
          </cell>
          <cell r="G4">
            <v>40.479999999999997</v>
          </cell>
        </row>
        <row r="5">
          <cell r="C5">
            <v>230</v>
          </cell>
          <cell r="F5" t="str">
            <v>SD</v>
          </cell>
          <cell r="G5">
            <v>38.07</v>
          </cell>
        </row>
        <row r="6">
          <cell r="C6">
            <v>230</v>
          </cell>
          <cell r="F6" t="str">
            <v>SD</v>
          </cell>
          <cell r="G6">
            <v>38.07</v>
          </cell>
        </row>
        <row r="7">
          <cell r="C7">
            <v>230</v>
          </cell>
          <cell r="F7" t="str">
            <v>S</v>
          </cell>
          <cell r="G7">
            <v>40.479999999999997</v>
          </cell>
        </row>
        <row r="8">
          <cell r="C8" t="str">
            <v>TX</v>
          </cell>
          <cell r="F8" t="str">
            <v>S</v>
          </cell>
        </row>
        <row r="9">
          <cell r="C9" t="str">
            <v>TX</v>
          </cell>
          <cell r="F9" t="str">
            <v>S</v>
          </cell>
        </row>
        <row r="10">
          <cell r="C10" t="str">
            <v>TX</v>
          </cell>
          <cell r="F10" t="str">
            <v>S</v>
          </cell>
        </row>
        <row r="11">
          <cell r="C11" t="str">
            <v>TX</v>
          </cell>
          <cell r="F11" t="str">
            <v>S</v>
          </cell>
        </row>
        <row r="12">
          <cell r="C12">
            <v>115</v>
          </cell>
          <cell r="F12" t="str">
            <v>S</v>
          </cell>
          <cell r="G12">
            <v>0.81</v>
          </cell>
        </row>
        <row r="13">
          <cell r="C13">
            <v>115</v>
          </cell>
          <cell r="F13" t="str">
            <v>S</v>
          </cell>
          <cell r="G13">
            <v>0.81</v>
          </cell>
        </row>
        <row r="14">
          <cell r="C14">
            <v>115</v>
          </cell>
          <cell r="F14" t="str">
            <v>S</v>
          </cell>
          <cell r="G14">
            <v>0.81</v>
          </cell>
        </row>
        <row r="15">
          <cell r="C15">
            <v>115</v>
          </cell>
          <cell r="F15" t="str">
            <v>S</v>
          </cell>
          <cell r="G15">
            <v>22.85</v>
          </cell>
        </row>
        <row r="16">
          <cell r="C16">
            <v>115</v>
          </cell>
          <cell r="F16" t="str">
            <v>S</v>
          </cell>
          <cell r="G16">
            <v>31.18</v>
          </cell>
        </row>
        <row r="17">
          <cell r="C17" t="str">
            <v>TX</v>
          </cell>
          <cell r="F17" t="str">
            <v>S</v>
          </cell>
        </row>
        <row r="18">
          <cell r="C18" t="str">
            <v>TX</v>
          </cell>
          <cell r="F18" t="str">
            <v>S</v>
          </cell>
        </row>
        <row r="19">
          <cell r="C19" t="str">
            <v>TX</v>
          </cell>
          <cell r="F19" t="str">
            <v>S</v>
          </cell>
        </row>
        <row r="20">
          <cell r="C20" t="str">
            <v>TX</v>
          </cell>
          <cell r="F20" t="str">
            <v>S</v>
          </cell>
        </row>
        <row r="21">
          <cell r="C21">
            <v>230</v>
          </cell>
          <cell r="F21" t="str">
            <v>S</v>
          </cell>
          <cell r="G21">
            <v>19.010000000000002</v>
          </cell>
        </row>
        <row r="22">
          <cell r="C22">
            <v>230</v>
          </cell>
          <cell r="F22" t="str">
            <v>S</v>
          </cell>
          <cell r="G22">
            <v>151.16999999999999</v>
          </cell>
        </row>
        <row r="23">
          <cell r="C23">
            <v>230</v>
          </cell>
          <cell r="F23" t="str">
            <v>S</v>
          </cell>
          <cell r="G23">
            <v>10.67</v>
          </cell>
        </row>
        <row r="24">
          <cell r="C24">
            <v>230</v>
          </cell>
          <cell r="F24" t="str">
            <v>S</v>
          </cell>
          <cell r="G24">
            <v>33.950000000000003</v>
          </cell>
        </row>
        <row r="25">
          <cell r="C25" t="str">
            <v>TX</v>
          </cell>
          <cell r="F25" t="str">
            <v>S</v>
          </cell>
        </row>
        <row r="26">
          <cell r="C26" t="str">
            <v>TX</v>
          </cell>
          <cell r="F26" t="str">
            <v>S</v>
          </cell>
        </row>
        <row r="27">
          <cell r="C27" t="str">
            <v>TX</v>
          </cell>
          <cell r="F27" t="str">
            <v>S</v>
          </cell>
        </row>
        <row r="28">
          <cell r="C28" t="str">
            <v>TX</v>
          </cell>
          <cell r="F28" t="str">
            <v>S</v>
          </cell>
        </row>
        <row r="29">
          <cell r="C29" t="str">
            <v>TX</v>
          </cell>
          <cell r="F29" t="str">
            <v>S</v>
          </cell>
        </row>
        <row r="30">
          <cell r="C30" t="str">
            <v>TX</v>
          </cell>
          <cell r="F30" t="str">
            <v>S</v>
          </cell>
        </row>
        <row r="31">
          <cell r="C31">
            <v>230</v>
          </cell>
          <cell r="F31" t="str">
            <v>S</v>
          </cell>
          <cell r="G31">
            <v>60.81</v>
          </cell>
        </row>
        <row r="32">
          <cell r="C32">
            <v>230</v>
          </cell>
          <cell r="F32" t="str">
            <v>S</v>
          </cell>
          <cell r="G32">
            <v>60.81</v>
          </cell>
        </row>
        <row r="33">
          <cell r="C33">
            <v>230</v>
          </cell>
          <cell r="F33" t="str">
            <v>SD</v>
          </cell>
          <cell r="G33">
            <v>95.2</v>
          </cell>
        </row>
        <row r="34">
          <cell r="C34">
            <v>230</v>
          </cell>
          <cell r="F34" t="str">
            <v>SD</v>
          </cell>
          <cell r="G34">
            <v>60.99</v>
          </cell>
        </row>
        <row r="35">
          <cell r="C35">
            <v>230</v>
          </cell>
          <cell r="F35" t="str">
            <v>SD</v>
          </cell>
          <cell r="G35">
            <v>156.19</v>
          </cell>
        </row>
        <row r="36">
          <cell r="C36">
            <v>230</v>
          </cell>
          <cell r="F36" t="str">
            <v>SD</v>
          </cell>
          <cell r="G36">
            <v>111.38</v>
          </cell>
        </row>
        <row r="37">
          <cell r="C37">
            <v>230</v>
          </cell>
          <cell r="F37" t="str">
            <v>SD</v>
          </cell>
          <cell r="G37">
            <v>111.38</v>
          </cell>
        </row>
        <row r="38">
          <cell r="C38">
            <v>230</v>
          </cell>
          <cell r="F38" t="str">
            <v>S</v>
          </cell>
          <cell r="G38">
            <v>110.65</v>
          </cell>
        </row>
        <row r="39">
          <cell r="C39">
            <v>230</v>
          </cell>
          <cell r="F39" t="str">
            <v>S</v>
          </cell>
          <cell r="G39">
            <v>81.93</v>
          </cell>
        </row>
        <row r="40">
          <cell r="C40">
            <v>230</v>
          </cell>
          <cell r="F40" t="str">
            <v>S</v>
          </cell>
          <cell r="G40">
            <v>81.93</v>
          </cell>
        </row>
        <row r="41">
          <cell r="C41">
            <v>230</v>
          </cell>
          <cell r="F41" t="str">
            <v>S</v>
          </cell>
          <cell r="G41">
            <v>44.65</v>
          </cell>
        </row>
        <row r="42">
          <cell r="C42">
            <v>230</v>
          </cell>
          <cell r="F42" t="str">
            <v>S</v>
          </cell>
          <cell r="G42">
            <v>44.65</v>
          </cell>
        </row>
        <row r="43">
          <cell r="C43">
            <v>230</v>
          </cell>
          <cell r="F43" t="str">
            <v>S</v>
          </cell>
          <cell r="G43">
            <v>68.2</v>
          </cell>
        </row>
        <row r="44">
          <cell r="C44">
            <v>230</v>
          </cell>
          <cell r="F44" t="str">
            <v>S</v>
          </cell>
          <cell r="G44">
            <v>68.2</v>
          </cell>
        </row>
        <row r="45">
          <cell r="C45">
            <v>230</v>
          </cell>
          <cell r="F45" t="str">
            <v>S</v>
          </cell>
          <cell r="G45">
            <v>107.97</v>
          </cell>
        </row>
        <row r="46">
          <cell r="C46" t="str">
            <v>TX</v>
          </cell>
          <cell r="F46" t="str">
            <v>S</v>
          </cell>
        </row>
        <row r="47">
          <cell r="C47" t="str">
            <v>TX</v>
          </cell>
          <cell r="F47" t="str">
            <v>S</v>
          </cell>
        </row>
        <row r="48">
          <cell r="C48" t="str">
            <v>TX</v>
          </cell>
          <cell r="F48" t="str">
            <v>S</v>
          </cell>
        </row>
        <row r="49">
          <cell r="C49" t="str">
            <v>TX</v>
          </cell>
          <cell r="F49" t="str">
            <v>S</v>
          </cell>
        </row>
        <row r="50">
          <cell r="C50" t="str">
            <v>TX</v>
          </cell>
          <cell r="F50" t="str">
            <v>S</v>
          </cell>
        </row>
        <row r="51">
          <cell r="C51" t="str">
            <v>TX</v>
          </cell>
          <cell r="F51" t="str">
            <v>S</v>
          </cell>
        </row>
        <row r="52">
          <cell r="C52" t="str">
            <v>TX</v>
          </cell>
          <cell r="F52" t="str">
            <v>S</v>
          </cell>
        </row>
        <row r="53">
          <cell r="C53" t="str">
            <v>TX</v>
          </cell>
          <cell r="F53" t="str">
            <v>S</v>
          </cell>
        </row>
        <row r="54">
          <cell r="C54">
            <v>230</v>
          </cell>
          <cell r="F54" t="str">
            <v>S</v>
          </cell>
          <cell r="G54">
            <v>37.72</v>
          </cell>
        </row>
        <row r="55">
          <cell r="C55">
            <v>230</v>
          </cell>
          <cell r="F55" t="str">
            <v>S</v>
          </cell>
          <cell r="G55">
            <v>37.72</v>
          </cell>
        </row>
        <row r="56">
          <cell r="C56">
            <v>230</v>
          </cell>
          <cell r="F56" t="str">
            <v>S</v>
          </cell>
          <cell r="G56">
            <v>85.6</v>
          </cell>
        </row>
        <row r="57">
          <cell r="C57">
            <v>230</v>
          </cell>
          <cell r="F57" t="str">
            <v>S</v>
          </cell>
          <cell r="G57">
            <v>85.6</v>
          </cell>
        </row>
        <row r="58">
          <cell r="C58">
            <v>230</v>
          </cell>
          <cell r="F58" t="str">
            <v>S</v>
          </cell>
          <cell r="G58">
            <v>24.17</v>
          </cell>
        </row>
        <row r="59">
          <cell r="C59" t="str">
            <v>TX</v>
          </cell>
          <cell r="F59" t="str">
            <v>S</v>
          </cell>
        </row>
        <row r="60">
          <cell r="C60" t="str">
            <v>TX</v>
          </cell>
          <cell r="F60" t="str">
            <v>S</v>
          </cell>
        </row>
        <row r="61">
          <cell r="C61" t="str">
            <v>TX</v>
          </cell>
          <cell r="F61" t="str">
            <v>S</v>
          </cell>
        </row>
        <row r="62">
          <cell r="C62">
            <v>115</v>
          </cell>
          <cell r="F62" t="str">
            <v>S</v>
          </cell>
          <cell r="G62">
            <v>25.32</v>
          </cell>
        </row>
        <row r="63">
          <cell r="C63">
            <v>115</v>
          </cell>
          <cell r="F63" t="str">
            <v>S</v>
          </cell>
          <cell r="G63">
            <v>25.32</v>
          </cell>
        </row>
        <row r="64">
          <cell r="C64" t="str">
            <v>TX</v>
          </cell>
          <cell r="F64" t="str">
            <v>S</v>
          </cell>
        </row>
        <row r="65">
          <cell r="C65" t="str">
            <v>TX</v>
          </cell>
          <cell r="F65" t="str">
            <v>S</v>
          </cell>
        </row>
        <row r="66">
          <cell r="C66" t="str">
            <v>TX</v>
          </cell>
          <cell r="F66" t="str">
            <v>S</v>
          </cell>
        </row>
        <row r="67">
          <cell r="C67" t="str">
            <v>TX</v>
          </cell>
          <cell r="F67" t="str">
            <v>S</v>
          </cell>
        </row>
        <row r="68">
          <cell r="C68" t="str">
            <v>TX</v>
          </cell>
          <cell r="F68" t="str">
            <v>S</v>
          </cell>
        </row>
        <row r="69">
          <cell r="C69" t="str">
            <v>TX</v>
          </cell>
          <cell r="F69" t="str">
            <v>S</v>
          </cell>
        </row>
        <row r="70">
          <cell r="C70">
            <v>230</v>
          </cell>
          <cell r="F70" t="str">
            <v>S</v>
          </cell>
          <cell r="G70">
            <v>29.95</v>
          </cell>
        </row>
        <row r="71">
          <cell r="C71">
            <v>115</v>
          </cell>
          <cell r="F71" t="str">
            <v>S</v>
          </cell>
          <cell r="G71">
            <v>47.81</v>
          </cell>
        </row>
        <row r="72">
          <cell r="C72">
            <v>115</v>
          </cell>
          <cell r="F72" t="str">
            <v>S</v>
          </cell>
          <cell r="G72">
            <v>47.81</v>
          </cell>
        </row>
        <row r="73">
          <cell r="C73">
            <v>115</v>
          </cell>
          <cell r="F73" t="str">
            <v>S</v>
          </cell>
          <cell r="G73">
            <v>32.08</v>
          </cell>
        </row>
        <row r="74">
          <cell r="C74">
            <v>115</v>
          </cell>
          <cell r="F74" t="str">
            <v>S</v>
          </cell>
          <cell r="G74">
            <v>6.9</v>
          </cell>
        </row>
        <row r="75">
          <cell r="C75">
            <v>115</v>
          </cell>
          <cell r="F75" t="str">
            <v>S</v>
          </cell>
          <cell r="G75">
            <v>0.96</v>
          </cell>
        </row>
        <row r="76">
          <cell r="C76">
            <v>115</v>
          </cell>
          <cell r="F76" t="str">
            <v>S</v>
          </cell>
          <cell r="G76">
            <v>25.41</v>
          </cell>
        </row>
        <row r="77">
          <cell r="C77">
            <v>230</v>
          </cell>
          <cell r="F77" t="str">
            <v>S</v>
          </cell>
          <cell r="G77">
            <v>16.399999999999999</v>
          </cell>
        </row>
        <row r="78">
          <cell r="C78">
            <v>230</v>
          </cell>
          <cell r="F78" t="str">
            <v>S</v>
          </cell>
          <cell r="G78">
            <v>97.4</v>
          </cell>
        </row>
        <row r="79">
          <cell r="C79">
            <v>230</v>
          </cell>
          <cell r="F79" t="str">
            <v>S</v>
          </cell>
          <cell r="G79">
            <v>50.88</v>
          </cell>
        </row>
        <row r="80">
          <cell r="C80">
            <v>230</v>
          </cell>
          <cell r="F80" t="str">
            <v>S</v>
          </cell>
          <cell r="G80">
            <v>60.53</v>
          </cell>
        </row>
        <row r="81">
          <cell r="C81">
            <v>115</v>
          </cell>
          <cell r="F81" t="str">
            <v>S</v>
          </cell>
          <cell r="G81">
            <v>6.69</v>
          </cell>
        </row>
        <row r="82">
          <cell r="C82">
            <v>230</v>
          </cell>
          <cell r="F82" t="str">
            <v>S</v>
          </cell>
          <cell r="G82">
            <v>84.81</v>
          </cell>
        </row>
        <row r="83">
          <cell r="C83">
            <v>230</v>
          </cell>
          <cell r="F83" t="str">
            <v>S</v>
          </cell>
          <cell r="G83">
            <v>84.81</v>
          </cell>
        </row>
        <row r="84">
          <cell r="C84">
            <v>230</v>
          </cell>
          <cell r="F84" t="str">
            <v>S</v>
          </cell>
          <cell r="G84">
            <v>42.89</v>
          </cell>
        </row>
        <row r="85">
          <cell r="C85">
            <v>230</v>
          </cell>
          <cell r="F85" t="str">
            <v>S</v>
          </cell>
          <cell r="G85">
            <v>42.89</v>
          </cell>
        </row>
        <row r="86">
          <cell r="C86">
            <v>230</v>
          </cell>
          <cell r="F86" t="str">
            <v>S</v>
          </cell>
          <cell r="G86">
            <v>8.66</v>
          </cell>
        </row>
        <row r="87">
          <cell r="C87">
            <v>230</v>
          </cell>
          <cell r="F87" t="str">
            <v>S</v>
          </cell>
          <cell r="G87">
            <v>24.66</v>
          </cell>
        </row>
        <row r="88">
          <cell r="C88">
            <v>230</v>
          </cell>
          <cell r="F88" t="str">
            <v>S</v>
          </cell>
          <cell r="G88">
            <v>78.38</v>
          </cell>
        </row>
        <row r="89">
          <cell r="C89" t="str">
            <v>TX</v>
          </cell>
          <cell r="F89" t="str">
            <v>S</v>
          </cell>
        </row>
        <row r="90">
          <cell r="C90" t="str">
            <v>TX</v>
          </cell>
          <cell r="F90" t="str">
            <v>S</v>
          </cell>
        </row>
        <row r="91">
          <cell r="C91" t="str">
            <v>TX</v>
          </cell>
          <cell r="F91" t="str">
            <v>S</v>
          </cell>
        </row>
        <row r="92">
          <cell r="C92" t="str">
            <v>TX</v>
          </cell>
          <cell r="F92" t="str">
            <v>S</v>
          </cell>
        </row>
        <row r="93">
          <cell r="C93" t="str">
            <v>TX</v>
          </cell>
          <cell r="F93" t="str">
            <v>S</v>
          </cell>
        </row>
        <row r="94">
          <cell r="C94" t="str">
            <v>TX</v>
          </cell>
          <cell r="F94" t="str">
            <v>S</v>
          </cell>
        </row>
        <row r="95">
          <cell r="C95">
            <v>230</v>
          </cell>
          <cell r="F95" t="str">
            <v>S</v>
          </cell>
          <cell r="G95">
            <v>45.57</v>
          </cell>
        </row>
        <row r="96">
          <cell r="C96">
            <v>230</v>
          </cell>
          <cell r="F96" t="str">
            <v>S</v>
          </cell>
          <cell r="G96">
            <v>117.22</v>
          </cell>
        </row>
        <row r="97">
          <cell r="C97">
            <v>230</v>
          </cell>
          <cell r="F97" t="str">
            <v>S</v>
          </cell>
          <cell r="G97">
            <v>48.35</v>
          </cell>
        </row>
        <row r="98">
          <cell r="C98">
            <v>230</v>
          </cell>
          <cell r="F98" t="str">
            <v>S</v>
          </cell>
          <cell r="G98">
            <v>48.35</v>
          </cell>
        </row>
      </sheetData>
      <sheetData sheetId="3"/>
      <sheetData sheetId="4">
        <row r="3">
          <cell r="E3" t="str">
            <v xml:space="preserve"> 2.- Día Semihábil (sábado):</v>
          </cell>
        </row>
      </sheetData>
      <sheetData sheetId="5">
        <row r="2">
          <cell r="L2">
            <v>0</v>
          </cell>
        </row>
        <row r="17">
          <cell r="L17">
            <v>0</v>
          </cell>
        </row>
      </sheetData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1-2008Contraloría Historico"/>
      <sheetName val="2001-08Contraloría Estruc. Hist"/>
      <sheetName val="PIB Estructural TRIM 2005-09"/>
      <sheetName val="Pronosticos Publicados 2009-10 "/>
      <sheetName val="PIB Mundial vs Panama"/>
      <sheetName val="PIB 2009 Estimado "/>
      <sheetName val="PIB 2009, tres metodologías (M)"/>
      <sheetName val="PIB Estructural 2009 Esti  (M)"/>
      <sheetName val="Variacion PIB por Act 2001-08"/>
      <sheetName val="Analisis IMAE 2008"/>
      <sheetName val="Analisis IMAE 2008 Anexo"/>
      <sheetName val="PIB Estructural II Trim 2009 "/>
      <sheetName val="Impuestos Netos"/>
      <sheetName val="PIB Estructural III Trim 2008 "/>
      <sheetName val="PIB Estructural III Trim2008Mod"/>
      <sheetName val="Var.  Estructural 2010  Mod"/>
      <sheetName val="PIB Estructural 2010 Estima 09 "/>
      <sheetName val="PIB Estructural 2010 Estima (2)"/>
      <sheetName val="Variacion PIB- Esc. Exp. Canal"/>
      <sheetName val="Tasas PIB INTRACORP"/>
      <sheetName val="Comp.Tasas PIB INTRACORP- Real "/>
      <sheetName val="Tasas PIB INTRACORP (2)"/>
      <sheetName val="Premisas Escenarios"/>
      <sheetName val="Estimacion PIB 2010-2024"/>
      <sheetName val="Pronosticos 2010-24 %"/>
      <sheetName val="Estimacion PIB 2010-2024 (2)"/>
      <sheetName val="Pronosticos 2010-24 % (2)"/>
      <sheetName val="Estimacion PIB 2010-2024 (3)"/>
      <sheetName val="Hoja5"/>
      <sheetName val="Hoja1"/>
      <sheetName val="Pronosticos 2010-24 % (3)"/>
      <sheetName val="Gráfico TASAS 2009-2024"/>
      <sheetName val="Tasas PIB INTRACORP (3)"/>
      <sheetName val="Empalme de Bases 96-82"/>
      <sheetName val="Empalme de Bases 96-82 (2)"/>
      <sheetName val="Hoja2"/>
      <sheetName val="Mat.  Cons.  2002-2006"/>
      <sheetName val="Produccion fisica Man 2002-06"/>
      <sheetName val="Carac.Consumo Sector Ind."/>
      <sheetName val="Evalua Estimado 2006"/>
      <sheetName val="industria-Algunos indicadores"/>
      <sheetName val="PIB MANUFACTURA"/>
      <sheetName val="Est. PIB MANUFACTURA ACP1996Mod"/>
      <sheetName val="Est. PIB MANUFACTURA ACP1996Mo2"/>
      <sheetName val="Est. PIB MANUFACTURA EMPALMEMod"/>
      <sheetName val="Hoja3"/>
    </sheetNames>
    <sheetDataSet>
      <sheetData sheetId="0">
        <row r="13">
          <cell r="D13">
            <v>588.29999999999995</v>
          </cell>
        </row>
      </sheetData>
      <sheetData sheetId="1"/>
      <sheetData sheetId="2">
        <row r="11">
          <cell r="AD11">
            <v>-0.12450884086444014</v>
          </cell>
        </row>
      </sheetData>
      <sheetData sheetId="3">
        <row r="41">
          <cell r="AH41">
            <v>6.5</v>
          </cell>
        </row>
      </sheetData>
      <sheetData sheetId="4"/>
      <sheetData sheetId="5"/>
      <sheetData sheetId="6">
        <row r="7">
          <cell r="AG7">
            <v>2.8234922146866938E-2</v>
          </cell>
        </row>
      </sheetData>
      <sheetData sheetId="7"/>
      <sheetData sheetId="8"/>
      <sheetData sheetId="9"/>
      <sheetData sheetId="10"/>
      <sheetData sheetId="11">
        <row r="12">
          <cell r="L12">
            <v>628.56387938206308</v>
          </cell>
        </row>
      </sheetData>
      <sheetData sheetId="12">
        <row r="27">
          <cell r="N27">
            <v>0.30833039181080124</v>
          </cell>
        </row>
      </sheetData>
      <sheetData sheetId="13">
        <row r="12">
          <cell r="L12">
            <v>3.9071116992456238E-2</v>
          </cell>
        </row>
      </sheetData>
      <sheetData sheetId="14"/>
      <sheetData sheetId="15"/>
      <sheetData sheetId="16">
        <row r="42">
          <cell r="K42">
            <v>20553.983233636332</v>
          </cell>
        </row>
      </sheetData>
      <sheetData sheetId="17">
        <row r="17">
          <cell r="K17">
            <v>1177.7581370070111</v>
          </cell>
        </row>
      </sheetData>
      <sheetData sheetId="18"/>
      <sheetData sheetId="19">
        <row r="19">
          <cell r="F19">
            <v>2.3443464982300322</v>
          </cell>
        </row>
      </sheetData>
      <sheetData sheetId="20"/>
      <sheetData sheetId="21"/>
      <sheetData sheetId="22"/>
      <sheetData sheetId="23">
        <row r="19">
          <cell r="L19">
            <v>1.7827949547141397E-2</v>
          </cell>
        </row>
      </sheetData>
      <sheetData sheetId="24"/>
      <sheetData sheetId="25"/>
      <sheetData sheetId="26"/>
      <sheetData sheetId="27">
        <row r="17">
          <cell r="L17">
            <v>19411.451970000002</v>
          </cell>
        </row>
      </sheetData>
      <sheetData sheetId="28"/>
      <sheetData sheetId="29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Nod"/>
      <sheetName val="Ram"/>
      <sheetName val="%USO"/>
      <sheetName val="Dias"/>
      <sheetName val="ENERGIA"/>
      <sheetName val="ENSA"/>
    </sheetNames>
    <sheetDataSet>
      <sheetData sheetId="0"/>
      <sheetData sheetId="1">
        <row r="3">
          <cell r="A3">
            <v>6002</v>
          </cell>
          <cell r="B3">
            <v>115</v>
          </cell>
          <cell r="C3" t="str">
            <v>Panamá 115</v>
          </cell>
          <cell r="D3" t="str">
            <v>PAN115</v>
          </cell>
          <cell r="E3">
            <v>7</v>
          </cell>
        </row>
        <row r="4">
          <cell r="A4">
            <v>6003</v>
          </cell>
          <cell r="B4">
            <v>230</v>
          </cell>
          <cell r="C4" t="str">
            <v>Panamá II 230</v>
          </cell>
          <cell r="D4" t="str">
            <v>PANII230</v>
          </cell>
          <cell r="E4">
            <v>7</v>
          </cell>
        </row>
        <row r="5">
          <cell r="A5">
            <v>6004</v>
          </cell>
          <cell r="B5">
            <v>115</v>
          </cell>
          <cell r="C5" t="str">
            <v>Panamá II 115</v>
          </cell>
          <cell r="D5" t="str">
            <v>PANII115</v>
          </cell>
          <cell r="E5">
            <v>7</v>
          </cell>
        </row>
        <row r="6">
          <cell r="A6">
            <v>6005</v>
          </cell>
          <cell r="B6">
            <v>230</v>
          </cell>
          <cell r="C6" t="str">
            <v>Chorrera 230</v>
          </cell>
          <cell r="D6" t="str">
            <v>CHO230</v>
          </cell>
          <cell r="E6">
            <v>6</v>
          </cell>
        </row>
        <row r="7">
          <cell r="A7">
            <v>6008</v>
          </cell>
          <cell r="B7">
            <v>230</v>
          </cell>
          <cell r="C7" t="str">
            <v>Llano Sánchez 230</v>
          </cell>
          <cell r="D7" t="str">
            <v>LSA230</v>
          </cell>
          <cell r="E7">
            <v>5</v>
          </cell>
        </row>
        <row r="8">
          <cell r="A8">
            <v>6009</v>
          </cell>
          <cell r="B8">
            <v>115</v>
          </cell>
          <cell r="C8" t="str">
            <v>Llano Sánchez 115</v>
          </cell>
          <cell r="D8" t="str">
            <v>LSA115</v>
          </cell>
          <cell r="E8">
            <v>5</v>
          </cell>
        </row>
        <row r="9">
          <cell r="A9">
            <v>6010</v>
          </cell>
          <cell r="B9">
            <v>34.5</v>
          </cell>
          <cell r="C9" t="str">
            <v>Llano Sánchez 34.5</v>
          </cell>
          <cell r="D9" t="str">
            <v>LSA34</v>
          </cell>
          <cell r="E9">
            <v>5</v>
          </cell>
        </row>
        <row r="10">
          <cell r="A10">
            <v>6011</v>
          </cell>
          <cell r="B10">
            <v>230</v>
          </cell>
          <cell r="C10" t="str">
            <v>Mata de Nance 230</v>
          </cell>
          <cell r="D10" t="str">
            <v>MDN230</v>
          </cell>
          <cell r="E10">
            <v>4</v>
          </cell>
        </row>
        <row r="11">
          <cell r="A11">
            <v>6012</v>
          </cell>
          <cell r="B11">
            <v>115</v>
          </cell>
          <cell r="C11" t="str">
            <v>Mata de Nance 115</v>
          </cell>
          <cell r="D11" t="str">
            <v>MDN115</v>
          </cell>
          <cell r="E11">
            <v>4</v>
          </cell>
        </row>
        <row r="12">
          <cell r="A12">
            <v>6013</v>
          </cell>
          <cell r="B12">
            <v>34.5</v>
          </cell>
          <cell r="C12" t="str">
            <v>Mata de Nance 34.5</v>
          </cell>
          <cell r="D12" t="str">
            <v>MDN34</v>
          </cell>
          <cell r="E12">
            <v>4</v>
          </cell>
        </row>
        <row r="13">
          <cell r="A13">
            <v>6014</v>
          </cell>
          <cell r="B13">
            <v>230</v>
          </cell>
          <cell r="C13" t="str">
            <v>Progreso 230</v>
          </cell>
          <cell r="D13" t="str">
            <v>PRO230</v>
          </cell>
          <cell r="E13">
            <v>1</v>
          </cell>
        </row>
        <row r="14">
          <cell r="A14">
            <v>6018</v>
          </cell>
          <cell r="B14">
            <v>115</v>
          </cell>
          <cell r="C14" t="str">
            <v>Cáceres</v>
          </cell>
          <cell r="D14" t="str">
            <v>CAC115</v>
          </cell>
          <cell r="E14">
            <v>7</v>
          </cell>
        </row>
        <row r="15">
          <cell r="A15">
            <v>6024</v>
          </cell>
          <cell r="B15">
            <v>115</v>
          </cell>
          <cell r="C15" t="str">
            <v>Chilibre</v>
          </cell>
          <cell r="D15" t="str">
            <v>CHI115</v>
          </cell>
          <cell r="E15">
            <v>7</v>
          </cell>
        </row>
        <row r="16">
          <cell r="A16">
            <v>6059</v>
          </cell>
          <cell r="B16">
            <v>115</v>
          </cell>
          <cell r="C16" t="str">
            <v>Las Minas 1</v>
          </cell>
          <cell r="D16" t="str">
            <v>LM1115</v>
          </cell>
          <cell r="E16">
            <v>9</v>
          </cell>
        </row>
        <row r="17">
          <cell r="A17">
            <v>6060</v>
          </cell>
          <cell r="B17">
            <v>115</v>
          </cell>
          <cell r="C17" t="str">
            <v>Las Minas 2</v>
          </cell>
          <cell r="D17" t="str">
            <v>LM2115</v>
          </cell>
          <cell r="E17">
            <v>9</v>
          </cell>
        </row>
        <row r="18">
          <cell r="A18">
            <v>6087</v>
          </cell>
          <cell r="B18">
            <v>115</v>
          </cell>
          <cell r="C18" t="str">
            <v>Caldera</v>
          </cell>
          <cell r="D18" t="str">
            <v>CAL115</v>
          </cell>
          <cell r="E18">
            <v>3</v>
          </cell>
        </row>
        <row r="19">
          <cell r="A19">
            <v>6096</v>
          </cell>
          <cell r="B19">
            <v>230</v>
          </cell>
          <cell r="C19" t="str">
            <v>Fortuna</v>
          </cell>
          <cell r="D19" t="str">
            <v>FOR230</v>
          </cell>
          <cell r="E19">
            <v>2</v>
          </cell>
        </row>
        <row r="20">
          <cell r="A20">
            <v>6100</v>
          </cell>
          <cell r="B20">
            <v>230</v>
          </cell>
          <cell r="C20" t="str">
            <v>Bayano</v>
          </cell>
          <cell r="D20" t="str">
            <v>BAY230</v>
          </cell>
          <cell r="E20">
            <v>8</v>
          </cell>
        </row>
        <row r="21">
          <cell r="A21">
            <v>6170</v>
          </cell>
          <cell r="B21">
            <v>115</v>
          </cell>
          <cell r="C21" t="str">
            <v>Cemento Panamá</v>
          </cell>
          <cell r="D21" t="str">
            <v>CPA115</v>
          </cell>
          <cell r="E21">
            <v>9</v>
          </cell>
        </row>
        <row r="22">
          <cell r="A22">
            <v>6171</v>
          </cell>
          <cell r="B22">
            <v>230</v>
          </cell>
          <cell r="C22" t="str">
            <v>Pacora</v>
          </cell>
          <cell r="D22" t="str">
            <v>PAC230</v>
          </cell>
          <cell r="E22">
            <v>7</v>
          </cell>
        </row>
        <row r="23">
          <cell r="A23">
            <v>6173</v>
          </cell>
          <cell r="B23">
            <v>115</v>
          </cell>
          <cell r="C23" t="str">
            <v>Santa Rita</v>
          </cell>
          <cell r="D23" t="str">
            <v>STR115</v>
          </cell>
          <cell r="E23">
            <v>9</v>
          </cell>
        </row>
        <row r="24">
          <cell r="A24">
            <v>6179</v>
          </cell>
          <cell r="B24">
            <v>230</v>
          </cell>
          <cell r="C24" t="str">
            <v>Guasquitas</v>
          </cell>
          <cell r="D24" t="str">
            <v>GUA230</v>
          </cell>
          <cell r="E24">
            <v>2</v>
          </cell>
        </row>
        <row r="25">
          <cell r="A25">
            <v>6182</v>
          </cell>
          <cell r="B25">
            <v>230</v>
          </cell>
          <cell r="C25" t="str">
            <v>Veladero</v>
          </cell>
          <cell r="D25" t="str">
            <v>VEL230</v>
          </cell>
          <cell r="E25">
            <v>4</v>
          </cell>
        </row>
        <row r="26">
          <cell r="A26">
            <v>6240</v>
          </cell>
          <cell r="B26">
            <v>230</v>
          </cell>
          <cell r="C26" t="str">
            <v>El Higo</v>
          </cell>
          <cell r="D26" t="str">
            <v>EHIG230</v>
          </cell>
          <cell r="E26">
            <v>5</v>
          </cell>
        </row>
        <row r="27">
          <cell r="A27">
            <v>6260</v>
          </cell>
          <cell r="B27">
            <v>230</v>
          </cell>
          <cell r="C27" t="str">
            <v>Changuinola</v>
          </cell>
          <cell r="D27" t="str">
            <v>CHA230</v>
          </cell>
          <cell r="E27">
            <v>10</v>
          </cell>
        </row>
        <row r="28">
          <cell r="A28">
            <v>6261</v>
          </cell>
          <cell r="B28">
            <v>115</v>
          </cell>
          <cell r="C28" t="str">
            <v>Changuinola 115</v>
          </cell>
          <cell r="D28" t="str">
            <v>CHA115</v>
          </cell>
          <cell r="E28">
            <v>10</v>
          </cell>
        </row>
        <row r="29">
          <cell r="A29">
            <v>6262</v>
          </cell>
          <cell r="B29">
            <v>34.5</v>
          </cell>
          <cell r="C29" t="str">
            <v>Changuinola 34.5</v>
          </cell>
          <cell r="D29" t="str">
            <v>CHA34</v>
          </cell>
          <cell r="E29">
            <v>10</v>
          </cell>
        </row>
        <row r="30">
          <cell r="A30">
            <v>6263</v>
          </cell>
          <cell r="B30">
            <v>230</v>
          </cell>
          <cell r="C30" t="str">
            <v>La Esperanza</v>
          </cell>
          <cell r="D30" t="str">
            <v>ESP230</v>
          </cell>
          <cell r="E30">
            <v>10</v>
          </cell>
        </row>
        <row r="31">
          <cell r="A31">
            <v>6290</v>
          </cell>
          <cell r="B31">
            <v>115</v>
          </cell>
          <cell r="C31" t="str">
            <v>Cativá II</v>
          </cell>
          <cell r="D31" t="str">
            <v>CATII115</v>
          </cell>
          <cell r="E31">
            <v>9</v>
          </cell>
        </row>
        <row r="32">
          <cell r="A32">
            <v>6340</v>
          </cell>
          <cell r="B32">
            <v>230</v>
          </cell>
          <cell r="C32" t="str">
            <v>Cañazas</v>
          </cell>
          <cell r="D32" t="str">
            <v>CAN230</v>
          </cell>
          <cell r="E32">
            <v>10</v>
          </cell>
        </row>
        <row r="33">
          <cell r="A33">
            <v>6380</v>
          </cell>
          <cell r="B33">
            <v>230</v>
          </cell>
          <cell r="C33" t="str">
            <v>Boquerón III</v>
          </cell>
          <cell r="D33" t="str">
            <v>BOQIII230</v>
          </cell>
          <cell r="E33">
            <v>4</v>
          </cell>
        </row>
        <row r="34">
          <cell r="A34">
            <v>6460</v>
          </cell>
          <cell r="B34">
            <v>230</v>
          </cell>
          <cell r="C34" t="str">
            <v>El Coco</v>
          </cell>
          <cell r="D34" t="str">
            <v>ECO230</v>
          </cell>
          <cell r="E34">
            <v>5</v>
          </cell>
        </row>
        <row r="35">
          <cell r="A35">
            <v>6470</v>
          </cell>
          <cell r="B35">
            <v>230</v>
          </cell>
          <cell r="C35" t="str">
            <v>24 de Diciembre</v>
          </cell>
          <cell r="D35" t="str">
            <v>24DIC230</v>
          </cell>
          <cell r="E35">
            <v>7</v>
          </cell>
        </row>
        <row r="36">
          <cell r="A36">
            <v>6520</v>
          </cell>
          <cell r="B36">
            <v>230</v>
          </cell>
          <cell r="C36" t="str">
            <v>San Bartolo</v>
          </cell>
          <cell r="D36" t="str">
            <v>SBA34</v>
          </cell>
          <cell r="E36">
            <v>4</v>
          </cell>
        </row>
        <row r="37">
          <cell r="A37">
            <v>6550</v>
          </cell>
          <cell r="B37">
            <v>230</v>
          </cell>
          <cell r="C37" t="str">
            <v>Bella Vista</v>
          </cell>
          <cell r="D37" t="str">
            <v>BEV230</v>
          </cell>
          <cell r="E37">
            <v>4</v>
          </cell>
        </row>
        <row r="38">
          <cell r="A38">
            <v>6713</v>
          </cell>
          <cell r="B38">
            <v>230</v>
          </cell>
          <cell r="C38" t="str">
            <v>Burunga</v>
          </cell>
          <cell r="D38" t="str">
            <v>BUR230</v>
          </cell>
          <cell r="E38">
            <v>6</v>
          </cell>
        </row>
        <row r="39">
          <cell r="A39">
            <v>6802</v>
          </cell>
          <cell r="B39">
            <v>230</v>
          </cell>
          <cell r="C39" t="str">
            <v>Costa Norte</v>
          </cell>
          <cell r="D39" t="str">
            <v>CNO230</v>
          </cell>
          <cell r="E39">
            <v>9</v>
          </cell>
        </row>
        <row r="40">
          <cell r="A40">
            <v>6803</v>
          </cell>
          <cell r="B40">
            <v>230</v>
          </cell>
          <cell r="C40" t="str">
            <v>Costa Norte</v>
          </cell>
          <cell r="D40" t="str">
            <v>CNO230</v>
          </cell>
          <cell r="E40">
            <v>9</v>
          </cell>
        </row>
        <row r="41">
          <cell r="A41">
            <v>6830</v>
          </cell>
          <cell r="B41">
            <v>230</v>
          </cell>
          <cell r="C41" t="str">
            <v>Antón</v>
          </cell>
          <cell r="D41" t="str">
            <v>ANT230</v>
          </cell>
          <cell r="E41">
            <v>6</v>
          </cell>
        </row>
        <row r="42">
          <cell r="A42">
            <v>7000</v>
          </cell>
          <cell r="C42" t="str">
            <v>T1-Panama</v>
          </cell>
          <cell r="D42" t="str">
            <v>T1-PAN</v>
          </cell>
          <cell r="E42">
            <v>7</v>
          </cell>
        </row>
        <row r="43">
          <cell r="A43">
            <v>7001</v>
          </cell>
          <cell r="C43" t="str">
            <v>T2-Panama</v>
          </cell>
          <cell r="D43" t="str">
            <v>T2-PAN</v>
          </cell>
          <cell r="E43">
            <v>7</v>
          </cell>
        </row>
        <row r="44">
          <cell r="A44">
            <v>7002</v>
          </cell>
          <cell r="C44" t="str">
            <v>T3-Panama</v>
          </cell>
          <cell r="D44" t="str">
            <v>T3-PAN</v>
          </cell>
          <cell r="E44">
            <v>7</v>
          </cell>
        </row>
        <row r="45">
          <cell r="A45">
            <v>7003</v>
          </cell>
          <cell r="C45" t="str">
            <v>T5-Panama</v>
          </cell>
          <cell r="D45" t="str">
            <v>T5-PAN</v>
          </cell>
          <cell r="E45">
            <v>7</v>
          </cell>
        </row>
        <row r="46">
          <cell r="A46">
            <v>7004</v>
          </cell>
          <cell r="C46" t="str">
            <v>T1-PanamaII</v>
          </cell>
          <cell r="D46" t="str">
            <v>T1-PANII</v>
          </cell>
          <cell r="E46">
            <v>7</v>
          </cell>
        </row>
        <row r="47">
          <cell r="A47">
            <v>7005</v>
          </cell>
          <cell r="C47" t="str">
            <v>T2-PanamaII</v>
          </cell>
          <cell r="D47" t="str">
            <v>T2-PANII</v>
          </cell>
          <cell r="E47">
            <v>7</v>
          </cell>
        </row>
        <row r="48">
          <cell r="A48">
            <v>7006</v>
          </cell>
          <cell r="C48" t="str">
            <v>T3-PanamaII</v>
          </cell>
          <cell r="D48" t="str">
            <v>T3-PANII</v>
          </cell>
          <cell r="E48">
            <v>7</v>
          </cell>
        </row>
        <row r="49">
          <cell r="A49">
            <v>7007</v>
          </cell>
          <cell r="C49" t="str">
            <v>T1-Chorrera</v>
          </cell>
          <cell r="D49" t="str">
            <v>T1-CHO</v>
          </cell>
          <cell r="E49">
            <v>6</v>
          </cell>
        </row>
        <row r="50">
          <cell r="A50">
            <v>7008</v>
          </cell>
          <cell r="C50" t="str">
            <v>T2-Chorrera</v>
          </cell>
          <cell r="D50" t="str">
            <v>T2-CHO</v>
          </cell>
          <cell r="E50">
            <v>6</v>
          </cell>
        </row>
        <row r="51">
          <cell r="A51">
            <v>7009</v>
          </cell>
          <cell r="C51" t="str">
            <v>T3-Chorrera</v>
          </cell>
          <cell r="D51" t="str">
            <v>T3-CHO</v>
          </cell>
          <cell r="E51">
            <v>6</v>
          </cell>
        </row>
        <row r="52">
          <cell r="A52">
            <v>7010</v>
          </cell>
          <cell r="C52" t="str">
            <v>T1-Llano Sanchez</v>
          </cell>
          <cell r="D52" t="str">
            <v>T1-LSA</v>
          </cell>
          <cell r="E52">
            <v>5</v>
          </cell>
        </row>
        <row r="53">
          <cell r="A53">
            <v>7011</v>
          </cell>
          <cell r="C53" t="str">
            <v>T2-Llano Sanchez</v>
          </cell>
          <cell r="D53" t="str">
            <v>T2-LSA</v>
          </cell>
          <cell r="E53">
            <v>5</v>
          </cell>
        </row>
        <row r="54">
          <cell r="A54">
            <v>7012</v>
          </cell>
          <cell r="C54" t="str">
            <v>T3-Llano Sanchez</v>
          </cell>
          <cell r="D54" t="str">
            <v>T3-LSA</v>
          </cell>
          <cell r="E54">
            <v>5</v>
          </cell>
        </row>
        <row r="55">
          <cell r="A55">
            <v>7013</v>
          </cell>
          <cell r="C55" t="str">
            <v>T1-Mata de Nance</v>
          </cell>
          <cell r="D55" t="str">
            <v>T1-MDN</v>
          </cell>
          <cell r="E55">
            <v>4</v>
          </cell>
        </row>
        <row r="56">
          <cell r="A56">
            <v>7014</v>
          </cell>
          <cell r="C56" t="str">
            <v>T2-Mata de Nance</v>
          </cell>
          <cell r="D56" t="str">
            <v>T2-MDN</v>
          </cell>
          <cell r="E56">
            <v>4</v>
          </cell>
        </row>
        <row r="57">
          <cell r="A57">
            <v>7015</v>
          </cell>
          <cell r="C57" t="str">
            <v>T3-Mata de Nance</v>
          </cell>
          <cell r="D57" t="str">
            <v>T3-MDN</v>
          </cell>
          <cell r="E57">
            <v>5</v>
          </cell>
        </row>
        <row r="58">
          <cell r="A58">
            <v>7016</v>
          </cell>
          <cell r="C58" t="str">
            <v>T1-Changuinola</v>
          </cell>
          <cell r="D58" t="str">
            <v>T1-CHA</v>
          </cell>
          <cell r="E58">
            <v>10</v>
          </cell>
        </row>
        <row r="59">
          <cell r="A59">
            <v>7017</v>
          </cell>
          <cell r="C59" t="str">
            <v>T2-Changuinola</v>
          </cell>
          <cell r="D59" t="str">
            <v>T2-CHA</v>
          </cell>
          <cell r="E59">
            <v>10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Nod"/>
      <sheetName val="Ram"/>
      <sheetName val="%USO"/>
      <sheetName val="Dias"/>
      <sheetName val="ENERGIA"/>
      <sheetName val="ENSA"/>
      <sheetName val="1. DatosFijos"/>
    </sheetNames>
    <sheetDataSet>
      <sheetData sheetId="0">
        <row r="1">
          <cell r="B1">
            <v>4</v>
          </cell>
          <cell r="C1" t="str">
            <v>2024-2025</v>
          </cell>
        </row>
        <row r="3">
          <cell r="B3">
            <v>55907.942517183998</v>
          </cell>
          <cell r="D3">
            <v>2479.0600000000009</v>
          </cell>
        </row>
        <row r="4">
          <cell r="B4">
            <v>47815.267483859388</v>
          </cell>
          <cell r="D4">
            <v>2204.3000000000006</v>
          </cell>
          <cell r="F4">
            <v>21.691814854538571</v>
          </cell>
        </row>
        <row r="5">
          <cell r="B5">
            <v>8092.6750333246109</v>
          </cell>
          <cell r="D5">
            <v>274.76000000000005</v>
          </cell>
          <cell r="F5">
            <v>29.453614184468663</v>
          </cell>
        </row>
        <row r="7">
          <cell r="B7">
            <v>35753.442279735209</v>
          </cell>
          <cell r="C7">
            <v>1</v>
          </cell>
          <cell r="D7">
            <v>611.28</v>
          </cell>
          <cell r="E7">
            <v>1</v>
          </cell>
          <cell r="F7">
            <v>58.48946845919253</v>
          </cell>
          <cell r="G7" t="str">
            <v>(230 kV)</v>
          </cell>
        </row>
        <row r="11">
          <cell r="B11">
            <v>360.07000000000005</v>
          </cell>
          <cell r="C11">
            <v>548.69000000000005</v>
          </cell>
          <cell r="D11">
            <v>152.99</v>
          </cell>
          <cell r="E11">
            <v>490.43</v>
          </cell>
          <cell r="F11">
            <v>823.4899999999999</v>
          </cell>
          <cell r="G11">
            <v>147</v>
          </cell>
          <cell r="H11">
            <v>159.33000000000001</v>
          </cell>
          <cell r="I11">
            <v>260</v>
          </cell>
          <cell r="J11">
            <v>1410.25</v>
          </cell>
          <cell r="K11">
            <v>252.17</v>
          </cell>
        </row>
        <row r="12">
          <cell r="B12">
            <v>20.759254642276581</v>
          </cell>
          <cell r="C12">
            <v>0</v>
          </cell>
          <cell r="D12">
            <v>9.5354088196838716E-2</v>
          </cell>
          <cell r="E12">
            <v>122.79517221171982</v>
          </cell>
          <cell r="F12">
            <v>421.80727667034165</v>
          </cell>
          <cell r="G12">
            <v>203.54055121538289</v>
          </cell>
          <cell r="H12">
            <v>1166.4340438628744</v>
          </cell>
          <cell r="I12">
            <v>1.35</v>
          </cell>
          <cell r="J12">
            <v>157.13</v>
          </cell>
          <cell r="K12">
            <v>74.984500153045872</v>
          </cell>
        </row>
      </sheetData>
      <sheetData sheetId="1">
        <row r="3">
          <cell r="A3">
            <v>6002</v>
          </cell>
          <cell r="B3">
            <v>115</v>
          </cell>
          <cell r="C3" t="str">
            <v>Panamá 115</v>
          </cell>
          <cell r="D3" t="str">
            <v>PAN115</v>
          </cell>
          <cell r="E3">
            <v>7</v>
          </cell>
        </row>
        <row r="4">
          <cell r="A4">
            <v>6003</v>
          </cell>
          <cell r="B4">
            <v>230</v>
          </cell>
          <cell r="C4" t="str">
            <v>Panamá II 230</v>
          </cell>
          <cell r="D4" t="str">
            <v>PANII230</v>
          </cell>
          <cell r="E4">
            <v>7</v>
          </cell>
        </row>
        <row r="5">
          <cell r="A5">
            <v>6004</v>
          </cell>
          <cell r="B5">
            <v>115</v>
          </cell>
          <cell r="C5" t="str">
            <v>Panamá II 115</v>
          </cell>
          <cell r="D5" t="str">
            <v>PANII115</v>
          </cell>
          <cell r="E5">
            <v>7</v>
          </cell>
        </row>
        <row r="6">
          <cell r="A6">
            <v>6005</v>
          </cell>
          <cell r="B6">
            <v>230</v>
          </cell>
          <cell r="C6" t="str">
            <v>Chorrera 230</v>
          </cell>
          <cell r="D6" t="str">
            <v>CHO230</v>
          </cell>
          <cell r="E6">
            <v>6</v>
          </cell>
        </row>
        <row r="7">
          <cell r="A7">
            <v>6008</v>
          </cell>
          <cell r="B7">
            <v>230</v>
          </cell>
          <cell r="C7" t="str">
            <v>Llano Sánchez 230</v>
          </cell>
          <cell r="D7" t="str">
            <v>LSA230</v>
          </cell>
          <cell r="E7">
            <v>5</v>
          </cell>
        </row>
        <row r="8">
          <cell r="A8">
            <v>6009</v>
          </cell>
          <cell r="B8">
            <v>115</v>
          </cell>
          <cell r="C8" t="str">
            <v>Llano Sánchez 115</v>
          </cell>
          <cell r="D8" t="str">
            <v>LSA115</v>
          </cell>
          <cell r="E8">
            <v>5</v>
          </cell>
        </row>
        <row r="9">
          <cell r="A9">
            <v>6010</v>
          </cell>
          <cell r="B9">
            <v>34.5</v>
          </cell>
          <cell r="C9" t="str">
            <v>Llano Sánchez 34.5</v>
          </cell>
          <cell r="D9" t="str">
            <v>LSA34</v>
          </cell>
          <cell r="E9">
            <v>5</v>
          </cell>
        </row>
        <row r="10">
          <cell r="A10">
            <v>6011</v>
          </cell>
          <cell r="B10">
            <v>230</v>
          </cell>
          <cell r="C10" t="str">
            <v>Mata de Nance 230</v>
          </cell>
          <cell r="D10" t="str">
            <v>MDN230</v>
          </cell>
          <cell r="E10">
            <v>4</v>
          </cell>
        </row>
        <row r="11">
          <cell r="A11">
            <v>6012</v>
          </cell>
          <cell r="B11">
            <v>115</v>
          </cell>
          <cell r="C11" t="str">
            <v>Mata de Nance 115</v>
          </cell>
          <cell r="D11" t="str">
            <v>MDN115</v>
          </cell>
          <cell r="E11">
            <v>4</v>
          </cell>
        </row>
        <row r="12">
          <cell r="A12">
            <v>6013</v>
          </cell>
          <cell r="B12">
            <v>34.5</v>
          </cell>
          <cell r="C12" t="str">
            <v>Mata de Nance 34.5</v>
          </cell>
          <cell r="D12" t="str">
            <v>MDN34</v>
          </cell>
          <cell r="E12">
            <v>4</v>
          </cell>
        </row>
        <row r="13">
          <cell r="A13">
            <v>6014</v>
          </cell>
          <cell r="B13">
            <v>230</v>
          </cell>
          <cell r="C13" t="str">
            <v>Progreso 230</v>
          </cell>
          <cell r="D13" t="str">
            <v>PRO230</v>
          </cell>
          <cell r="E13">
            <v>1</v>
          </cell>
        </row>
        <row r="14">
          <cell r="A14">
            <v>6018</v>
          </cell>
          <cell r="B14">
            <v>115</v>
          </cell>
          <cell r="C14" t="str">
            <v>Cáceres</v>
          </cell>
          <cell r="D14" t="str">
            <v>CAC115</v>
          </cell>
          <cell r="E14">
            <v>7</v>
          </cell>
        </row>
        <row r="15">
          <cell r="A15">
            <v>6024</v>
          </cell>
          <cell r="B15">
            <v>115</v>
          </cell>
          <cell r="C15" t="str">
            <v>Chilibre</v>
          </cell>
          <cell r="D15" t="str">
            <v>CHI115</v>
          </cell>
          <cell r="E15">
            <v>7</v>
          </cell>
        </row>
        <row r="16">
          <cell r="A16">
            <v>6059</v>
          </cell>
          <cell r="B16">
            <v>115</v>
          </cell>
          <cell r="C16" t="str">
            <v>Las Minas 1</v>
          </cell>
          <cell r="D16" t="str">
            <v>LM1115</v>
          </cell>
          <cell r="E16">
            <v>9</v>
          </cell>
        </row>
        <row r="17">
          <cell r="A17">
            <v>6060</v>
          </cell>
          <cell r="B17">
            <v>115</v>
          </cell>
          <cell r="C17" t="str">
            <v>Las Minas 2</v>
          </cell>
          <cell r="D17" t="str">
            <v>LM2115</v>
          </cell>
          <cell r="E17">
            <v>9</v>
          </cell>
        </row>
        <row r="18">
          <cell r="A18">
            <v>6087</v>
          </cell>
          <cell r="B18">
            <v>115</v>
          </cell>
          <cell r="C18" t="str">
            <v>Caldera</v>
          </cell>
          <cell r="D18" t="str">
            <v>CAL115</v>
          </cell>
          <cell r="E18">
            <v>3</v>
          </cell>
        </row>
        <row r="19">
          <cell r="A19">
            <v>6096</v>
          </cell>
          <cell r="B19">
            <v>230</v>
          </cell>
          <cell r="C19" t="str">
            <v>Fortuna</v>
          </cell>
          <cell r="D19" t="str">
            <v>FOR230</v>
          </cell>
          <cell r="E19">
            <v>2</v>
          </cell>
        </row>
        <row r="20">
          <cell r="A20">
            <v>6100</v>
          </cell>
          <cell r="B20">
            <v>230</v>
          </cell>
          <cell r="C20" t="str">
            <v>Bayano</v>
          </cell>
          <cell r="D20" t="str">
            <v>BAY230</v>
          </cell>
          <cell r="E20">
            <v>8</v>
          </cell>
        </row>
        <row r="21">
          <cell r="A21">
            <v>6170</v>
          </cell>
          <cell r="B21">
            <v>115</v>
          </cell>
          <cell r="C21" t="str">
            <v>Cemento Panamá</v>
          </cell>
          <cell r="D21" t="str">
            <v>CPA115</v>
          </cell>
          <cell r="E21">
            <v>9</v>
          </cell>
        </row>
        <row r="22">
          <cell r="A22">
            <v>6171</v>
          </cell>
          <cell r="B22">
            <v>230</v>
          </cell>
          <cell r="C22" t="str">
            <v>Pacora</v>
          </cell>
          <cell r="D22" t="str">
            <v>PAC230</v>
          </cell>
          <cell r="E22">
            <v>7</v>
          </cell>
        </row>
        <row r="23">
          <cell r="A23">
            <v>6173</v>
          </cell>
          <cell r="B23">
            <v>115</v>
          </cell>
          <cell r="C23" t="str">
            <v>Santa Rita</v>
          </cell>
          <cell r="D23" t="str">
            <v>STR115</v>
          </cell>
          <cell r="E23">
            <v>9</v>
          </cell>
        </row>
        <row r="24">
          <cell r="A24">
            <v>6179</v>
          </cell>
          <cell r="B24">
            <v>230</v>
          </cell>
          <cell r="C24" t="str">
            <v>Guasquitas</v>
          </cell>
          <cell r="D24" t="str">
            <v>GUA230</v>
          </cell>
          <cell r="E24">
            <v>2</v>
          </cell>
        </row>
        <row r="25">
          <cell r="A25">
            <v>6182</v>
          </cell>
          <cell r="B25">
            <v>230</v>
          </cell>
          <cell r="C25" t="str">
            <v>Veladero</v>
          </cell>
          <cell r="D25" t="str">
            <v>VEL230</v>
          </cell>
          <cell r="E25">
            <v>4</v>
          </cell>
        </row>
        <row r="26">
          <cell r="A26">
            <v>6240</v>
          </cell>
          <cell r="B26">
            <v>230</v>
          </cell>
          <cell r="C26" t="str">
            <v>El Higo</v>
          </cell>
          <cell r="D26" t="str">
            <v>EHIG230</v>
          </cell>
          <cell r="E26">
            <v>5</v>
          </cell>
        </row>
        <row r="27">
          <cell r="A27">
            <v>6260</v>
          </cell>
          <cell r="B27">
            <v>230</v>
          </cell>
          <cell r="C27" t="str">
            <v>Changuinola</v>
          </cell>
          <cell r="D27" t="str">
            <v>CHA230</v>
          </cell>
          <cell r="E27">
            <v>10</v>
          </cell>
        </row>
        <row r="28">
          <cell r="A28">
            <v>6261</v>
          </cell>
          <cell r="B28">
            <v>115</v>
          </cell>
          <cell r="C28" t="str">
            <v>Changuinola 115</v>
          </cell>
          <cell r="D28" t="str">
            <v>CHA115</v>
          </cell>
          <cell r="E28">
            <v>10</v>
          </cell>
        </row>
        <row r="29">
          <cell r="A29">
            <v>6262</v>
          </cell>
          <cell r="B29">
            <v>34.5</v>
          </cell>
          <cell r="C29" t="str">
            <v>Changuinola 34.5</v>
          </cell>
          <cell r="D29" t="str">
            <v>CHA34</v>
          </cell>
          <cell r="E29">
            <v>10</v>
          </cell>
        </row>
        <row r="30">
          <cell r="A30">
            <v>6263</v>
          </cell>
          <cell r="B30">
            <v>230</v>
          </cell>
          <cell r="C30" t="str">
            <v>La Esperanza</v>
          </cell>
          <cell r="D30" t="str">
            <v>ESP230</v>
          </cell>
          <cell r="E30">
            <v>10</v>
          </cell>
        </row>
        <row r="31">
          <cell r="A31">
            <v>6290</v>
          </cell>
          <cell r="B31">
            <v>115</v>
          </cell>
          <cell r="C31" t="str">
            <v>Cativá II</v>
          </cell>
          <cell r="D31" t="str">
            <v>CATII115</v>
          </cell>
          <cell r="E31">
            <v>9</v>
          </cell>
        </row>
        <row r="32">
          <cell r="A32">
            <v>6340</v>
          </cell>
          <cell r="B32">
            <v>230</v>
          </cell>
          <cell r="C32" t="str">
            <v>Cañazas</v>
          </cell>
          <cell r="D32" t="str">
            <v>CAN230</v>
          </cell>
          <cell r="E32">
            <v>10</v>
          </cell>
        </row>
        <row r="33">
          <cell r="A33">
            <v>6380</v>
          </cell>
          <cell r="B33">
            <v>230</v>
          </cell>
          <cell r="C33" t="str">
            <v>Boquerón III</v>
          </cell>
          <cell r="D33" t="str">
            <v>BOQIII230</v>
          </cell>
          <cell r="E33">
            <v>4</v>
          </cell>
        </row>
        <row r="34">
          <cell r="A34">
            <v>6460</v>
          </cell>
          <cell r="B34">
            <v>230</v>
          </cell>
          <cell r="C34" t="str">
            <v>El Coco</v>
          </cell>
          <cell r="D34" t="str">
            <v>ECO230</v>
          </cell>
          <cell r="E34">
            <v>5</v>
          </cell>
        </row>
        <row r="35">
          <cell r="A35">
            <v>6470</v>
          </cell>
          <cell r="B35">
            <v>230</v>
          </cell>
          <cell r="C35" t="str">
            <v>24 de Diciembre</v>
          </cell>
          <cell r="D35" t="str">
            <v>24DIC230</v>
          </cell>
          <cell r="E35">
            <v>7</v>
          </cell>
        </row>
        <row r="36">
          <cell r="A36">
            <v>6520</v>
          </cell>
          <cell r="B36">
            <v>230</v>
          </cell>
          <cell r="C36" t="str">
            <v>San Bartolo</v>
          </cell>
          <cell r="D36" t="str">
            <v>SBA34</v>
          </cell>
          <cell r="E36">
            <v>4</v>
          </cell>
        </row>
        <row r="37">
          <cell r="A37">
            <v>6550</v>
          </cell>
          <cell r="B37">
            <v>230</v>
          </cell>
          <cell r="C37" t="str">
            <v>Bella Vista</v>
          </cell>
          <cell r="D37" t="str">
            <v>BEV230</v>
          </cell>
          <cell r="E37">
            <v>4</v>
          </cell>
        </row>
        <row r="38">
          <cell r="A38">
            <v>6713</v>
          </cell>
          <cell r="B38">
            <v>230</v>
          </cell>
          <cell r="C38" t="str">
            <v>Burunga</v>
          </cell>
          <cell r="D38" t="str">
            <v>BUR230</v>
          </cell>
          <cell r="E38">
            <v>6</v>
          </cell>
        </row>
        <row r="39">
          <cell r="A39">
            <v>6802</v>
          </cell>
          <cell r="B39">
            <v>230</v>
          </cell>
          <cell r="C39" t="str">
            <v>Costa Norte</v>
          </cell>
          <cell r="D39" t="str">
            <v>CNO230</v>
          </cell>
          <cell r="E39">
            <v>9</v>
          </cell>
        </row>
        <row r="40">
          <cell r="A40">
            <v>6803</v>
          </cell>
          <cell r="B40">
            <v>230</v>
          </cell>
          <cell r="C40" t="str">
            <v>Costa Norte</v>
          </cell>
          <cell r="D40" t="str">
            <v>CNO230</v>
          </cell>
          <cell r="E40">
            <v>9</v>
          </cell>
        </row>
        <row r="41">
          <cell r="A41">
            <v>6830</v>
          </cell>
          <cell r="B41">
            <v>230</v>
          </cell>
          <cell r="C41" t="str">
            <v>Antón</v>
          </cell>
          <cell r="D41" t="str">
            <v>ANT230</v>
          </cell>
          <cell r="E41">
            <v>6</v>
          </cell>
        </row>
        <row r="42">
          <cell r="A42">
            <v>7000</v>
          </cell>
          <cell r="C42" t="str">
            <v>T1-Panama</v>
          </cell>
          <cell r="D42" t="str">
            <v>T1-PAN</v>
          </cell>
          <cell r="E42">
            <v>7</v>
          </cell>
        </row>
        <row r="43">
          <cell r="A43">
            <v>7001</v>
          </cell>
          <cell r="C43" t="str">
            <v>T2-Panama</v>
          </cell>
          <cell r="D43" t="str">
            <v>T2-PAN</v>
          </cell>
          <cell r="E43">
            <v>7</v>
          </cell>
        </row>
        <row r="44">
          <cell r="A44">
            <v>7002</v>
          </cell>
          <cell r="C44" t="str">
            <v>T3-Panama</v>
          </cell>
          <cell r="D44" t="str">
            <v>T3-PAN</v>
          </cell>
          <cell r="E44">
            <v>7</v>
          </cell>
        </row>
        <row r="45">
          <cell r="A45">
            <v>7003</v>
          </cell>
          <cell r="C45" t="str">
            <v>T5-Panama</v>
          </cell>
          <cell r="D45" t="str">
            <v>T5-PAN</v>
          </cell>
          <cell r="E45">
            <v>7</v>
          </cell>
        </row>
        <row r="46">
          <cell r="A46">
            <v>7004</v>
          </cell>
          <cell r="C46" t="str">
            <v>T1-PanamaII</v>
          </cell>
          <cell r="D46" t="str">
            <v>T1-PANII</v>
          </cell>
          <cell r="E46">
            <v>7</v>
          </cell>
        </row>
        <row r="47">
          <cell r="A47">
            <v>7005</v>
          </cell>
          <cell r="C47" t="str">
            <v>T2-PanamaII</v>
          </cell>
          <cell r="D47" t="str">
            <v>T2-PANII</v>
          </cell>
          <cell r="E47">
            <v>7</v>
          </cell>
        </row>
        <row r="48">
          <cell r="A48">
            <v>7006</v>
          </cell>
          <cell r="C48" t="str">
            <v>T3-PanamaII</v>
          </cell>
          <cell r="D48" t="str">
            <v>T3-PANII</v>
          </cell>
          <cell r="E48">
            <v>7</v>
          </cell>
        </row>
        <row r="49">
          <cell r="A49">
            <v>7007</v>
          </cell>
          <cell r="C49" t="str">
            <v>T1-Chorrera</v>
          </cell>
          <cell r="D49" t="str">
            <v>T1-CHO</v>
          </cell>
          <cell r="E49">
            <v>6</v>
          </cell>
        </row>
        <row r="50">
          <cell r="A50">
            <v>7008</v>
          </cell>
          <cell r="C50" t="str">
            <v>T2-Chorrera</v>
          </cell>
          <cell r="D50" t="str">
            <v>T2-CHO</v>
          </cell>
          <cell r="E50">
            <v>6</v>
          </cell>
        </row>
        <row r="51">
          <cell r="A51">
            <v>7009</v>
          </cell>
          <cell r="C51" t="str">
            <v>T3-Chorrera</v>
          </cell>
          <cell r="D51" t="str">
            <v>T3-CHO</v>
          </cell>
          <cell r="E51">
            <v>6</v>
          </cell>
        </row>
        <row r="52">
          <cell r="A52">
            <v>7010</v>
          </cell>
          <cell r="C52" t="str">
            <v>T1-Llano Sanchez</v>
          </cell>
          <cell r="D52" t="str">
            <v>T1-LSA</v>
          </cell>
          <cell r="E52">
            <v>5</v>
          </cell>
        </row>
        <row r="53">
          <cell r="A53">
            <v>7011</v>
          </cell>
          <cell r="C53" t="str">
            <v>T2-Llano Sanchez</v>
          </cell>
          <cell r="D53" t="str">
            <v>T2-LSA</v>
          </cell>
          <cell r="E53">
            <v>5</v>
          </cell>
        </row>
        <row r="54">
          <cell r="A54">
            <v>7012</v>
          </cell>
          <cell r="C54" t="str">
            <v>T3-Llano Sanchez</v>
          </cell>
          <cell r="D54" t="str">
            <v>T3-LSA</v>
          </cell>
          <cell r="E54">
            <v>5</v>
          </cell>
        </row>
        <row r="55">
          <cell r="A55">
            <v>7013</v>
          </cell>
          <cell r="C55" t="str">
            <v>T1-Mata de Nance</v>
          </cell>
          <cell r="D55" t="str">
            <v>T1-MDN</v>
          </cell>
          <cell r="E55">
            <v>4</v>
          </cell>
        </row>
        <row r="56">
          <cell r="A56">
            <v>7014</v>
          </cell>
          <cell r="C56" t="str">
            <v>T2-Mata de Nance</v>
          </cell>
          <cell r="D56" t="str">
            <v>T2-MDN</v>
          </cell>
          <cell r="E56">
            <v>4</v>
          </cell>
        </row>
        <row r="57">
          <cell r="A57">
            <v>7015</v>
          </cell>
          <cell r="C57" t="str">
            <v>T3-Mata de Nance</v>
          </cell>
          <cell r="D57" t="str">
            <v>T3-MDN</v>
          </cell>
          <cell r="E57">
            <v>5</v>
          </cell>
        </row>
        <row r="58">
          <cell r="A58">
            <v>7016</v>
          </cell>
          <cell r="C58" t="str">
            <v>T1-Changuinola</v>
          </cell>
          <cell r="D58" t="str">
            <v>T1-CHA</v>
          </cell>
          <cell r="E58">
            <v>10</v>
          </cell>
        </row>
        <row r="59">
          <cell r="A59">
            <v>7017</v>
          </cell>
          <cell r="C59" t="str">
            <v>T2-Changuinola</v>
          </cell>
          <cell r="D59" t="str">
            <v>T2-CHA</v>
          </cell>
          <cell r="E59">
            <v>10</v>
          </cell>
        </row>
      </sheetData>
      <sheetData sheetId="2">
        <row r="2">
          <cell r="C2">
            <v>230</v>
          </cell>
          <cell r="F2" t="str">
            <v>S</v>
          </cell>
          <cell r="G2">
            <v>13.09</v>
          </cell>
        </row>
        <row r="3">
          <cell r="C3">
            <v>230</v>
          </cell>
          <cell r="F3" t="str">
            <v>S</v>
          </cell>
          <cell r="G3">
            <v>13.09</v>
          </cell>
        </row>
        <row r="4">
          <cell r="C4">
            <v>230</v>
          </cell>
          <cell r="F4" t="str">
            <v>S</v>
          </cell>
          <cell r="G4">
            <v>40.479999999999997</v>
          </cell>
        </row>
        <row r="5">
          <cell r="C5">
            <v>230</v>
          </cell>
          <cell r="F5" t="str">
            <v>SD</v>
          </cell>
          <cell r="G5">
            <v>38.07</v>
          </cell>
        </row>
        <row r="6">
          <cell r="C6">
            <v>230</v>
          </cell>
          <cell r="F6" t="str">
            <v>SD</v>
          </cell>
          <cell r="G6">
            <v>38.07</v>
          </cell>
        </row>
        <row r="7">
          <cell r="C7">
            <v>230</v>
          </cell>
          <cell r="F7" t="str">
            <v>S</v>
          </cell>
          <cell r="G7">
            <v>40.479999999999997</v>
          </cell>
        </row>
        <row r="8">
          <cell r="C8" t="str">
            <v>TX</v>
          </cell>
          <cell r="F8" t="str">
            <v>S</v>
          </cell>
        </row>
        <row r="9">
          <cell r="C9" t="str">
            <v>TX</v>
          </cell>
          <cell r="F9" t="str">
            <v>S</v>
          </cell>
        </row>
        <row r="10">
          <cell r="C10" t="str">
            <v>TX</v>
          </cell>
          <cell r="F10" t="str">
            <v>S</v>
          </cell>
        </row>
        <row r="11">
          <cell r="C11" t="str">
            <v>TX</v>
          </cell>
          <cell r="F11" t="str">
            <v>S</v>
          </cell>
        </row>
        <row r="12">
          <cell r="C12">
            <v>115</v>
          </cell>
          <cell r="F12" t="str">
            <v>S</v>
          </cell>
          <cell r="G12">
            <v>0.81</v>
          </cell>
        </row>
        <row r="13">
          <cell r="C13">
            <v>115</v>
          </cell>
          <cell r="F13" t="str">
            <v>S</v>
          </cell>
          <cell r="G13">
            <v>0.81</v>
          </cell>
        </row>
        <row r="14">
          <cell r="C14">
            <v>115</v>
          </cell>
          <cell r="F14" t="str">
            <v>S</v>
          </cell>
          <cell r="G14">
            <v>0.81</v>
          </cell>
        </row>
        <row r="15">
          <cell r="C15">
            <v>115</v>
          </cell>
          <cell r="F15" t="str">
            <v>S</v>
          </cell>
          <cell r="G15">
            <v>22.85</v>
          </cell>
        </row>
        <row r="16">
          <cell r="C16">
            <v>115</v>
          </cell>
          <cell r="F16" t="str">
            <v>S</v>
          </cell>
          <cell r="G16">
            <v>31.18</v>
          </cell>
        </row>
        <row r="17">
          <cell r="C17" t="str">
            <v>TX</v>
          </cell>
          <cell r="F17" t="str">
            <v>S</v>
          </cell>
        </row>
        <row r="18">
          <cell r="C18" t="str">
            <v>TX</v>
          </cell>
          <cell r="F18" t="str">
            <v>S</v>
          </cell>
        </row>
        <row r="19">
          <cell r="C19" t="str">
            <v>TX</v>
          </cell>
          <cell r="F19" t="str">
            <v>S</v>
          </cell>
        </row>
        <row r="20">
          <cell r="C20" t="str">
            <v>TX</v>
          </cell>
          <cell r="F20" t="str">
            <v>S</v>
          </cell>
        </row>
        <row r="21">
          <cell r="C21">
            <v>230</v>
          </cell>
          <cell r="F21" t="str">
            <v>S</v>
          </cell>
          <cell r="G21">
            <v>19.010000000000002</v>
          </cell>
        </row>
        <row r="22">
          <cell r="C22">
            <v>230</v>
          </cell>
          <cell r="F22" t="str">
            <v>S</v>
          </cell>
          <cell r="G22">
            <v>151.16999999999999</v>
          </cell>
        </row>
        <row r="23">
          <cell r="C23">
            <v>230</v>
          </cell>
          <cell r="F23" t="str">
            <v>S</v>
          </cell>
          <cell r="G23">
            <v>10.67</v>
          </cell>
        </row>
        <row r="24">
          <cell r="C24">
            <v>230</v>
          </cell>
          <cell r="F24" t="str">
            <v>S</v>
          </cell>
          <cell r="G24">
            <v>33.950000000000003</v>
          </cell>
        </row>
        <row r="25">
          <cell r="C25" t="str">
            <v>TX</v>
          </cell>
          <cell r="F25" t="str">
            <v>S</v>
          </cell>
        </row>
        <row r="26">
          <cell r="C26" t="str">
            <v>TX</v>
          </cell>
          <cell r="F26" t="str">
            <v>S</v>
          </cell>
        </row>
        <row r="27">
          <cell r="C27" t="str">
            <v>TX</v>
          </cell>
          <cell r="F27" t="str">
            <v>S</v>
          </cell>
        </row>
        <row r="28">
          <cell r="C28" t="str">
            <v>TX</v>
          </cell>
          <cell r="F28" t="str">
            <v>S</v>
          </cell>
        </row>
        <row r="29">
          <cell r="C29" t="str">
            <v>TX</v>
          </cell>
          <cell r="F29" t="str">
            <v>S</v>
          </cell>
        </row>
        <row r="30">
          <cell r="C30" t="str">
            <v>TX</v>
          </cell>
          <cell r="F30" t="str">
            <v>S</v>
          </cell>
        </row>
        <row r="31">
          <cell r="C31">
            <v>230</v>
          </cell>
          <cell r="F31" t="str">
            <v>S</v>
          </cell>
          <cell r="G31">
            <v>60.81</v>
          </cell>
        </row>
        <row r="32">
          <cell r="C32">
            <v>230</v>
          </cell>
          <cell r="F32" t="str">
            <v>S</v>
          </cell>
          <cell r="G32">
            <v>60.81</v>
          </cell>
        </row>
        <row r="33">
          <cell r="C33">
            <v>230</v>
          </cell>
          <cell r="F33" t="str">
            <v>SD</v>
          </cell>
          <cell r="G33">
            <v>95.2</v>
          </cell>
        </row>
        <row r="34">
          <cell r="C34">
            <v>230</v>
          </cell>
          <cell r="F34" t="str">
            <v>SD</v>
          </cell>
          <cell r="G34">
            <v>60.99</v>
          </cell>
        </row>
        <row r="35">
          <cell r="C35">
            <v>230</v>
          </cell>
          <cell r="F35" t="str">
            <v>SD</v>
          </cell>
          <cell r="G35">
            <v>156.19</v>
          </cell>
        </row>
        <row r="36">
          <cell r="C36">
            <v>230</v>
          </cell>
          <cell r="F36" t="str">
            <v>SD</v>
          </cell>
          <cell r="G36">
            <v>111.38</v>
          </cell>
        </row>
        <row r="37">
          <cell r="C37">
            <v>230</v>
          </cell>
          <cell r="F37" t="str">
            <v>SD</v>
          </cell>
          <cell r="G37">
            <v>111.38</v>
          </cell>
        </row>
        <row r="38">
          <cell r="C38">
            <v>230</v>
          </cell>
          <cell r="F38" t="str">
            <v>S</v>
          </cell>
          <cell r="G38">
            <v>110.65</v>
          </cell>
        </row>
        <row r="39">
          <cell r="C39">
            <v>230</v>
          </cell>
          <cell r="F39" t="str">
            <v>S</v>
          </cell>
          <cell r="G39">
            <v>81.93</v>
          </cell>
        </row>
        <row r="40">
          <cell r="C40">
            <v>230</v>
          </cell>
          <cell r="F40" t="str">
            <v>S</v>
          </cell>
          <cell r="G40">
            <v>81.93</v>
          </cell>
        </row>
        <row r="41">
          <cell r="C41">
            <v>230</v>
          </cell>
          <cell r="F41" t="str">
            <v>S</v>
          </cell>
          <cell r="G41">
            <v>44.65</v>
          </cell>
        </row>
        <row r="42">
          <cell r="C42">
            <v>230</v>
          </cell>
          <cell r="F42" t="str">
            <v>S</v>
          </cell>
          <cell r="G42">
            <v>44.65</v>
          </cell>
        </row>
        <row r="43">
          <cell r="C43">
            <v>230</v>
          </cell>
          <cell r="F43" t="str">
            <v>S</v>
          </cell>
          <cell r="G43">
            <v>68.2</v>
          </cell>
        </row>
        <row r="44">
          <cell r="C44">
            <v>230</v>
          </cell>
          <cell r="F44" t="str">
            <v>S</v>
          </cell>
          <cell r="G44">
            <v>68.2</v>
          </cell>
        </row>
        <row r="45">
          <cell r="C45">
            <v>230</v>
          </cell>
          <cell r="F45" t="str">
            <v>S</v>
          </cell>
          <cell r="G45">
            <v>107.97</v>
          </cell>
        </row>
        <row r="46">
          <cell r="C46" t="str">
            <v>TX</v>
          </cell>
          <cell r="F46" t="str">
            <v>S</v>
          </cell>
        </row>
        <row r="47">
          <cell r="C47" t="str">
            <v>TX</v>
          </cell>
          <cell r="F47" t="str">
            <v>S</v>
          </cell>
        </row>
        <row r="48">
          <cell r="C48" t="str">
            <v>TX</v>
          </cell>
          <cell r="F48" t="str">
            <v>S</v>
          </cell>
        </row>
        <row r="49">
          <cell r="C49" t="str">
            <v>TX</v>
          </cell>
          <cell r="F49" t="str">
            <v>S</v>
          </cell>
        </row>
        <row r="50">
          <cell r="C50" t="str">
            <v>TX</v>
          </cell>
          <cell r="F50" t="str">
            <v>S</v>
          </cell>
        </row>
        <row r="51">
          <cell r="C51" t="str">
            <v>TX</v>
          </cell>
          <cell r="F51" t="str">
            <v>S</v>
          </cell>
        </row>
        <row r="52">
          <cell r="C52" t="str">
            <v>TX</v>
          </cell>
          <cell r="F52" t="str">
            <v>S</v>
          </cell>
        </row>
        <row r="53">
          <cell r="C53" t="str">
            <v>TX</v>
          </cell>
          <cell r="F53" t="str">
            <v>S</v>
          </cell>
        </row>
        <row r="54">
          <cell r="C54">
            <v>230</v>
          </cell>
          <cell r="F54" t="str">
            <v>S</v>
          </cell>
          <cell r="G54">
            <v>37.72</v>
          </cell>
        </row>
        <row r="55">
          <cell r="C55">
            <v>230</v>
          </cell>
          <cell r="F55" t="str">
            <v>S</v>
          </cell>
          <cell r="G55">
            <v>37.72</v>
          </cell>
        </row>
        <row r="56">
          <cell r="C56">
            <v>230</v>
          </cell>
          <cell r="F56" t="str">
            <v>S</v>
          </cell>
          <cell r="G56">
            <v>85.6</v>
          </cell>
        </row>
        <row r="57">
          <cell r="C57">
            <v>230</v>
          </cell>
          <cell r="F57" t="str">
            <v>S</v>
          </cell>
          <cell r="G57">
            <v>85.6</v>
          </cell>
        </row>
        <row r="58">
          <cell r="C58">
            <v>230</v>
          </cell>
          <cell r="F58" t="str">
            <v>S</v>
          </cell>
          <cell r="G58">
            <v>24.17</v>
          </cell>
        </row>
        <row r="59">
          <cell r="C59" t="str">
            <v>TX</v>
          </cell>
          <cell r="F59" t="str">
            <v>S</v>
          </cell>
        </row>
        <row r="60">
          <cell r="C60" t="str">
            <v>TX</v>
          </cell>
          <cell r="F60" t="str">
            <v>S</v>
          </cell>
        </row>
        <row r="61">
          <cell r="C61" t="str">
            <v>TX</v>
          </cell>
          <cell r="F61" t="str">
            <v>S</v>
          </cell>
        </row>
        <row r="62">
          <cell r="C62">
            <v>115</v>
          </cell>
          <cell r="F62" t="str">
            <v>S</v>
          </cell>
          <cell r="G62">
            <v>25.32</v>
          </cell>
        </row>
        <row r="63">
          <cell r="C63">
            <v>115</v>
          </cell>
          <cell r="F63" t="str">
            <v>S</v>
          </cell>
          <cell r="G63">
            <v>25.32</v>
          </cell>
        </row>
        <row r="64">
          <cell r="C64" t="str">
            <v>TX</v>
          </cell>
          <cell r="F64" t="str">
            <v>S</v>
          </cell>
        </row>
        <row r="65">
          <cell r="C65" t="str">
            <v>TX</v>
          </cell>
          <cell r="F65" t="str">
            <v>S</v>
          </cell>
        </row>
        <row r="66">
          <cell r="C66" t="str">
            <v>TX</v>
          </cell>
          <cell r="F66" t="str">
            <v>S</v>
          </cell>
        </row>
        <row r="67">
          <cell r="C67" t="str">
            <v>TX</v>
          </cell>
          <cell r="F67" t="str">
            <v>S</v>
          </cell>
        </row>
        <row r="68">
          <cell r="C68" t="str">
            <v>TX</v>
          </cell>
          <cell r="F68" t="str">
            <v>S</v>
          </cell>
        </row>
        <row r="69">
          <cell r="C69" t="str">
            <v>TX</v>
          </cell>
          <cell r="F69" t="str">
            <v>S</v>
          </cell>
        </row>
        <row r="70">
          <cell r="C70">
            <v>230</v>
          </cell>
          <cell r="F70" t="str">
            <v>S</v>
          </cell>
          <cell r="G70">
            <v>29.95</v>
          </cell>
        </row>
        <row r="71">
          <cell r="C71">
            <v>115</v>
          </cell>
          <cell r="F71" t="str">
            <v>S</v>
          </cell>
          <cell r="G71">
            <v>47.81</v>
          </cell>
        </row>
        <row r="72">
          <cell r="C72">
            <v>115</v>
          </cell>
          <cell r="F72" t="str">
            <v>S</v>
          </cell>
          <cell r="G72">
            <v>47.81</v>
          </cell>
        </row>
        <row r="73">
          <cell r="C73">
            <v>115</v>
          </cell>
          <cell r="F73" t="str">
            <v>S</v>
          </cell>
          <cell r="G73">
            <v>32.08</v>
          </cell>
        </row>
        <row r="74">
          <cell r="C74">
            <v>115</v>
          </cell>
          <cell r="F74" t="str">
            <v>S</v>
          </cell>
          <cell r="G74">
            <v>6.9</v>
          </cell>
        </row>
        <row r="75">
          <cell r="C75">
            <v>115</v>
          </cell>
          <cell r="F75" t="str">
            <v>S</v>
          </cell>
          <cell r="G75">
            <v>0.96</v>
          </cell>
        </row>
        <row r="76">
          <cell r="C76">
            <v>115</v>
          </cell>
          <cell r="F76" t="str">
            <v>S</v>
          </cell>
          <cell r="G76">
            <v>25.41</v>
          </cell>
        </row>
        <row r="77">
          <cell r="C77">
            <v>230</v>
          </cell>
          <cell r="F77" t="str">
            <v>S</v>
          </cell>
          <cell r="G77">
            <v>16.399999999999999</v>
          </cell>
        </row>
        <row r="78">
          <cell r="C78">
            <v>230</v>
          </cell>
          <cell r="F78" t="str">
            <v>S</v>
          </cell>
          <cell r="G78">
            <v>97.4</v>
          </cell>
        </row>
        <row r="79">
          <cell r="C79">
            <v>230</v>
          </cell>
          <cell r="F79" t="str">
            <v>S</v>
          </cell>
          <cell r="G79">
            <v>50.88</v>
          </cell>
        </row>
        <row r="80">
          <cell r="C80">
            <v>230</v>
          </cell>
          <cell r="F80" t="str">
            <v>S</v>
          </cell>
          <cell r="G80">
            <v>60.53</v>
          </cell>
        </row>
        <row r="81">
          <cell r="C81">
            <v>115</v>
          </cell>
          <cell r="F81" t="str">
            <v>S</v>
          </cell>
          <cell r="G81">
            <v>6.69</v>
          </cell>
        </row>
        <row r="82">
          <cell r="C82">
            <v>230</v>
          </cell>
          <cell r="F82" t="str">
            <v>S</v>
          </cell>
          <cell r="G82">
            <v>84.81</v>
          </cell>
        </row>
        <row r="83">
          <cell r="C83">
            <v>230</v>
          </cell>
          <cell r="F83" t="str">
            <v>S</v>
          </cell>
          <cell r="G83">
            <v>84.81</v>
          </cell>
        </row>
        <row r="84">
          <cell r="C84">
            <v>230</v>
          </cell>
          <cell r="F84" t="str">
            <v>S</v>
          </cell>
          <cell r="G84">
            <v>42.89</v>
          </cell>
        </row>
        <row r="85">
          <cell r="C85">
            <v>230</v>
          </cell>
          <cell r="F85" t="str">
            <v>S</v>
          </cell>
          <cell r="G85">
            <v>42.89</v>
          </cell>
        </row>
        <row r="86">
          <cell r="C86">
            <v>230</v>
          </cell>
          <cell r="F86" t="str">
            <v>S</v>
          </cell>
          <cell r="G86">
            <v>8.66</v>
          </cell>
        </row>
        <row r="87">
          <cell r="C87">
            <v>230</v>
          </cell>
          <cell r="F87" t="str">
            <v>S</v>
          </cell>
          <cell r="G87">
            <v>24.66</v>
          </cell>
        </row>
        <row r="88">
          <cell r="C88">
            <v>230</v>
          </cell>
          <cell r="F88" t="str">
            <v>S</v>
          </cell>
          <cell r="G88">
            <v>78.38</v>
          </cell>
        </row>
        <row r="89">
          <cell r="C89" t="str">
            <v>TX</v>
          </cell>
          <cell r="F89" t="str">
            <v>S</v>
          </cell>
        </row>
        <row r="90">
          <cell r="C90" t="str">
            <v>TX</v>
          </cell>
          <cell r="F90" t="str">
            <v>S</v>
          </cell>
        </row>
        <row r="91">
          <cell r="C91" t="str">
            <v>TX</v>
          </cell>
          <cell r="F91" t="str">
            <v>S</v>
          </cell>
        </row>
        <row r="92">
          <cell r="C92" t="str">
            <v>TX</v>
          </cell>
          <cell r="F92" t="str">
            <v>S</v>
          </cell>
        </row>
        <row r="93">
          <cell r="C93" t="str">
            <v>TX</v>
          </cell>
          <cell r="F93" t="str">
            <v>S</v>
          </cell>
        </row>
        <row r="94">
          <cell r="C94" t="str">
            <v>TX</v>
          </cell>
          <cell r="F94" t="str">
            <v>S</v>
          </cell>
        </row>
        <row r="95">
          <cell r="C95">
            <v>230</v>
          </cell>
          <cell r="F95" t="str">
            <v>S</v>
          </cell>
          <cell r="G95">
            <v>45.57</v>
          </cell>
        </row>
        <row r="96">
          <cell r="C96">
            <v>230</v>
          </cell>
          <cell r="F96" t="str">
            <v>S</v>
          </cell>
          <cell r="G96">
            <v>117.22</v>
          </cell>
        </row>
        <row r="97">
          <cell r="C97">
            <v>230</v>
          </cell>
          <cell r="F97" t="str">
            <v>S</v>
          </cell>
          <cell r="G97">
            <v>48.35</v>
          </cell>
        </row>
        <row r="98">
          <cell r="C98">
            <v>230</v>
          </cell>
          <cell r="F98" t="str">
            <v>S</v>
          </cell>
          <cell r="G98">
            <v>48.35</v>
          </cell>
        </row>
      </sheetData>
      <sheetData sheetId="3"/>
      <sheetData sheetId="4"/>
      <sheetData sheetId="5">
        <row r="2">
          <cell r="L2">
            <v>0</v>
          </cell>
        </row>
        <row r="17">
          <cell r="L17">
            <v>0</v>
          </cell>
        </row>
      </sheetData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Nod"/>
      <sheetName val="%USO"/>
      <sheetName val="Ram"/>
      <sheetName val="Dias"/>
      <sheetName val="ENERGIA"/>
      <sheetName val="ENERGIA (Cargos)"/>
    </sheetNames>
    <sheetDataSet>
      <sheetData sheetId="0">
        <row r="1">
          <cell r="B1">
            <v>1</v>
          </cell>
          <cell r="C1" t="str">
            <v>2021-2022</v>
          </cell>
        </row>
        <row r="3">
          <cell r="D3">
            <v>2349.39</v>
          </cell>
        </row>
        <row r="4">
          <cell r="B4">
            <v>49059.987082774009</v>
          </cell>
          <cell r="D4">
            <v>2079.9899999999998</v>
          </cell>
          <cell r="F4">
            <v>23.586645648668512</v>
          </cell>
        </row>
        <row r="5">
          <cell r="B5">
            <v>8303.3422898661847</v>
          </cell>
          <cell r="D5">
            <v>269.39999999999998</v>
          </cell>
          <cell r="F5">
            <v>30.821612063348869</v>
          </cell>
        </row>
        <row r="7">
          <cell r="C7">
            <v>1</v>
          </cell>
          <cell r="D7">
            <v>606.11</v>
          </cell>
          <cell r="E7">
            <v>1</v>
          </cell>
          <cell r="F7">
            <v>69.939557464154262</v>
          </cell>
        </row>
        <row r="11">
          <cell r="B11">
            <v>268.7946</v>
          </cell>
          <cell r="C11">
            <v>547.79999999999995</v>
          </cell>
          <cell r="D11">
            <v>155.26999999999998</v>
          </cell>
          <cell r="E11">
            <v>434.98</v>
          </cell>
          <cell r="F11">
            <v>803.198621</v>
          </cell>
          <cell r="G11">
            <v>151.30000000000001</v>
          </cell>
          <cell r="H11">
            <v>159.33000000000001</v>
          </cell>
          <cell r="I11">
            <v>260</v>
          </cell>
          <cell r="J11">
            <v>740.45</v>
          </cell>
          <cell r="K11">
            <v>252.17</v>
          </cell>
        </row>
        <row r="12">
          <cell r="B12">
            <v>23.37</v>
          </cell>
          <cell r="C12">
            <v>0</v>
          </cell>
          <cell r="D12">
            <v>0.1</v>
          </cell>
          <cell r="E12">
            <v>122.86</v>
          </cell>
          <cell r="F12">
            <v>566.55999999999995</v>
          </cell>
          <cell r="G12">
            <v>183.27</v>
          </cell>
          <cell r="H12">
            <v>1126.7800000000002</v>
          </cell>
          <cell r="I12">
            <v>2.4</v>
          </cell>
          <cell r="J12">
            <v>129.75</v>
          </cell>
          <cell r="K12">
            <v>45.04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M01"/>
      <sheetName val="M02"/>
      <sheetName val="M03"/>
      <sheetName val="M04"/>
      <sheetName val="M05"/>
      <sheetName val="M06"/>
      <sheetName val="M07"/>
      <sheetName val="M08"/>
      <sheetName val="M09"/>
      <sheetName val="M10"/>
      <sheetName val="M11"/>
      <sheetName val="M12"/>
    </sheetNames>
    <sheetDataSet>
      <sheetData sheetId="0">
        <row r="3">
          <cell r="B3">
            <v>59710.152840950002</v>
          </cell>
        </row>
        <row r="7">
          <cell r="B7">
            <v>44753.727860347302</v>
          </cell>
        </row>
      </sheetData>
      <sheetData sheetId="1">
        <row r="13">
          <cell r="H13">
            <v>744</v>
          </cell>
          <cell r="I13">
            <v>8.4931506849315067E-2</v>
          </cell>
        </row>
        <row r="21">
          <cell r="B21">
            <v>110.3320308217743</v>
          </cell>
          <cell r="C21">
            <v>359.87630478454292</v>
          </cell>
          <cell r="D21">
            <v>75.880384515188155</v>
          </cell>
          <cell r="E21">
            <v>197.50004378709679</v>
          </cell>
          <cell r="F21">
            <v>95.131752415456972</v>
          </cell>
          <cell r="G21">
            <v>2.3291329758064516</v>
          </cell>
          <cell r="H21">
            <v>12.51600129784946</v>
          </cell>
          <cell r="I21">
            <v>113.41120325161293</v>
          </cell>
          <cell r="J21">
            <v>147.54293478104836</v>
          </cell>
          <cell r="K21">
            <v>166.31234440752692</v>
          </cell>
        </row>
        <row r="22">
          <cell r="B22">
            <v>11.086443346774193</v>
          </cell>
          <cell r="C22">
            <v>0</v>
          </cell>
          <cell r="D22">
            <v>4.5143096774193536E-2</v>
          </cell>
          <cell r="E22">
            <v>54.671686014784953</v>
          </cell>
          <cell r="F22">
            <v>157.92538121236561</v>
          </cell>
          <cell r="G22">
            <v>121.87950322715054</v>
          </cell>
          <cell r="H22">
            <v>633.12635961505362</v>
          </cell>
          <cell r="I22">
            <v>0.94554266397849451</v>
          </cell>
          <cell r="J22">
            <v>76.251880763440866</v>
          </cell>
          <cell r="K22">
            <v>20.873022823924735</v>
          </cell>
        </row>
        <row r="24">
          <cell r="B24">
            <v>82.087030931400079</v>
          </cell>
          <cell r="C24">
            <v>267.74797075969991</v>
          </cell>
          <cell r="D24">
            <v>56.455006079299984</v>
          </cell>
          <cell r="E24">
            <v>146.94003257760002</v>
          </cell>
          <cell r="F24">
            <v>70.778023797099991</v>
          </cell>
          <cell r="G24">
            <v>1.7328749340000003</v>
          </cell>
          <cell r="H24">
            <v>9.3119049655999984</v>
          </cell>
          <cell r="I24">
            <v>84.377935219200026</v>
          </cell>
          <cell r="J24">
            <v>109.77194347709998</v>
          </cell>
          <cell r="K24">
            <v>123.73638423920004</v>
          </cell>
        </row>
        <row r="25">
          <cell r="B25">
            <v>8.2483138499999988</v>
          </cell>
          <cell r="C25">
            <v>0</v>
          </cell>
          <cell r="D25">
            <v>3.3586463999999989E-2</v>
          </cell>
          <cell r="E25">
            <v>40.675734395000006</v>
          </cell>
          <cell r="F25">
            <v>117.49648362200001</v>
          </cell>
          <cell r="G25">
            <v>90.678350401000003</v>
          </cell>
          <cell r="H25">
            <v>471.04601155359984</v>
          </cell>
          <cell r="I25">
            <v>0.70348374199999986</v>
          </cell>
          <cell r="J25">
            <v>56.731399288000006</v>
          </cell>
          <cell r="K25">
            <v>15.529528981000004</v>
          </cell>
        </row>
        <row r="27">
          <cell r="B27">
            <v>0.92484202795832005</v>
          </cell>
          <cell r="C27">
            <v>3.1425494861005796</v>
          </cell>
          <cell r="D27">
            <v>1.6199389452116537</v>
          </cell>
          <cell r="E27">
            <v>2.3268778027315018</v>
          </cell>
          <cell r="F27">
            <v>2.0914596312058427</v>
          </cell>
          <cell r="G27">
            <v>0</v>
          </cell>
          <cell r="H27">
            <v>4.1674326069036559E-2</v>
          </cell>
          <cell r="I27">
            <v>0.78228307318063861</v>
          </cell>
          <cell r="J27">
            <v>0.15587926959459855</v>
          </cell>
          <cell r="K27">
            <v>2.8320315991398957</v>
          </cell>
        </row>
        <row r="28">
          <cell r="B28">
            <v>3.955816168363005E-2</v>
          </cell>
          <cell r="C28">
            <v>0</v>
          </cell>
          <cell r="D28">
            <v>0</v>
          </cell>
          <cell r="E28">
            <v>0.3521905761136892</v>
          </cell>
          <cell r="F28">
            <v>1.0045927036372375</v>
          </cell>
          <cell r="G28">
            <v>1.4647170572216843</v>
          </cell>
          <cell r="H28">
            <v>0.97054118794547628</v>
          </cell>
          <cell r="I28">
            <v>0</v>
          </cell>
          <cell r="J28">
            <v>1.6652424744670675</v>
          </cell>
          <cell r="K28">
            <v>6.7062067142668477E-2</v>
          </cell>
        </row>
        <row r="30">
          <cell r="B30">
            <v>0.54825725095913658</v>
          </cell>
        </row>
        <row r="31">
          <cell r="B31">
            <v>0.40281476896567064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0.75070638413063795</v>
          </cell>
          <cell r="G33">
            <v>1.9536794333066627</v>
          </cell>
          <cell r="H33">
            <v>1.1561843414860153</v>
          </cell>
          <cell r="I33">
            <v>0</v>
          </cell>
          <cell r="J33">
            <v>1.8721637867816017</v>
          </cell>
          <cell r="K33">
            <v>0</v>
          </cell>
        </row>
        <row r="34">
          <cell r="I34">
            <v>1.6310849245797332</v>
          </cell>
        </row>
        <row r="38">
          <cell r="B38">
            <v>87.35715824029991</v>
          </cell>
          <cell r="C38">
            <v>815.40087634181657</v>
          </cell>
          <cell r="D38">
            <v>89.896109564362888</v>
          </cell>
          <cell r="E38">
            <v>325.70101813036206</v>
          </cell>
          <cell r="F38">
            <v>116.92915787151883</v>
          </cell>
          <cell r="G38">
            <v>0</v>
          </cell>
          <cell r="H38">
            <v>2.3861332124963592</v>
          </cell>
          <cell r="I38">
            <v>72.817568102510577</v>
          </cell>
          <cell r="J38">
            <v>20.753109984125238</v>
          </cell>
          <cell r="K38">
            <v>342.98705866206205</v>
          </cell>
        </row>
        <row r="39">
          <cell r="B39">
            <v>0.23049171427558116</v>
          </cell>
          <cell r="C39">
            <v>0</v>
          </cell>
          <cell r="D39">
            <v>0</v>
          </cell>
          <cell r="E39">
            <v>14.217415890155491</v>
          </cell>
          <cell r="F39">
            <v>118.18341327823119</v>
          </cell>
          <cell r="G39">
            <v>130.2810985365675</v>
          </cell>
          <cell r="H39">
            <v>448.44497036714756</v>
          </cell>
          <cell r="I39">
            <v>0</v>
          </cell>
          <cell r="J39">
            <v>92.682366534032198</v>
          </cell>
          <cell r="K39">
            <v>0.97310094863728469</v>
          </cell>
        </row>
        <row r="41">
          <cell r="B41">
            <v>116.66618241494909</v>
          </cell>
          <cell r="C41">
            <v>294.85274956582361</v>
          </cell>
          <cell r="D41">
            <v>85.127903356425122</v>
          </cell>
          <cell r="E41">
            <v>183.50170189602298</v>
          </cell>
          <cell r="F41">
            <v>77.238481515123169</v>
          </cell>
          <cell r="G41">
            <v>80.593815890993085</v>
          </cell>
          <cell r="H41">
            <v>65.505776344597635</v>
          </cell>
          <cell r="I41">
            <v>142.54688524937555</v>
          </cell>
          <cell r="J41">
            <v>491.37556117212614</v>
          </cell>
          <cell r="K41">
            <v>138.25403097436543</v>
          </cell>
        </row>
        <row r="42">
          <cell r="B42">
            <v>6.0462496821747171</v>
          </cell>
          <cell r="C42">
            <v>0</v>
          </cell>
          <cell r="D42">
            <v>2.4168886137940233E-2</v>
          </cell>
          <cell r="E42">
            <v>42.911857337912892</v>
          </cell>
          <cell r="F42">
            <v>178.56778708248177</v>
          </cell>
          <cell r="G42">
            <v>68.442257394957096</v>
          </cell>
          <cell r="H42">
            <v>356.59108017701288</v>
          </cell>
          <cell r="I42">
            <v>0.93453026400035577</v>
          </cell>
          <cell r="J42">
            <v>45.348886690155204</v>
          </cell>
          <cell r="K42">
            <v>17.502301711558395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88.576198922575728</v>
          </cell>
          <cell r="G44">
            <v>173.89355649879388</v>
          </cell>
          <cell r="H44">
            <v>533.95528391831215</v>
          </cell>
          <cell r="I44">
            <v>0</v>
          </cell>
          <cell r="J44">
            <v>103.84157460126937</v>
          </cell>
          <cell r="K44">
            <v>0</v>
          </cell>
        </row>
        <row r="45">
          <cell r="B45">
            <v>24.482584717941801</v>
          </cell>
          <cell r="C45">
            <v>0</v>
          </cell>
          <cell r="D45">
            <v>9.7865095474783989E-2</v>
          </cell>
          <cell r="E45">
            <v>173.75947701547904</v>
          </cell>
          <cell r="F45">
            <v>723.05994706619572</v>
          </cell>
          <cell r="G45">
            <v>277.13763953534254</v>
          </cell>
          <cell r="H45">
            <v>1443.9151191248836</v>
          </cell>
          <cell r="I45">
            <v>3.7841170250249814</v>
          </cell>
          <cell r="J45">
            <v>183.6275408091864</v>
          </cell>
          <cell r="K45">
            <v>70.870639972989437</v>
          </cell>
        </row>
        <row r="46">
          <cell r="G46">
            <v>0</v>
          </cell>
        </row>
      </sheetData>
      <sheetData sheetId="2">
        <row r="13">
          <cell r="H13">
            <v>744</v>
          </cell>
          <cell r="I13">
            <v>8.493150684931508E-2</v>
          </cell>
        </row>
        <row r="21">
          <cell r="B21">
            <v>168.32837040336025</v>
          </cell>
          <cell r="C21">
            <v>352.842077454167</v>
          </cell>
          <cell r="D21">
            <v>97.68331740994627</v>
          </cell>
          <cell r="E21">
            <v>251.67772779166668</v>
          </cell>
          <cell r="F21">
            <v>72.934504386290328</v>
          </cell>
          <cell r="G21">
            <v>0.52935046236559136</v>
          </cell>
          <cell r="H21">
            <v>11.333602672849461</v>
          </cell>
          <cell r="I21">
            <v>79.365346425134376</v>
          </cell>
          <cell r="J21">
            <v>66.360186436155928</v>
          </cell>
          <cell r="K21">
            <v>188.38243831948921</v>
          </cell>
        </row>
        <row r="22">
          <cell r="B22">
            <v>10.67621681048387</v>
          </cell>
          <cell r="C22">
            <v>0</v>
          </cell>
          <cell r="D22">
            <v>4.8311797043010758E-2</v>
          </cell>
          <cell r="E22">
            <v>51.893247755376336</v>
          </cell>
          <cell r="F22">
            <v>166.54601335873659</v>
          </cell>
          <cell r="G22">
            <v>120.69928900403225</v>
          </cell>
          <cell r="H22">
            <v>622.15317045712357</v>
          </cell>
          <cell r="I22">
            <v>0.8871612916666668</v>
          </cell>
          <cell r="J22">
            <v>74.755079236559126</v>
          </cell>
          <cell r="K22">
            <v>25.861992286290313</v>
          </cell>
        </row>
        <row r="24">
          <cell r="B24">
            <v>125.23630758010002</v>
          </cell>
          <cell r="C24">
            <v>262.51450562590026</v>
          </cell>
          <cell r="D24">
            <v>72.676388153000019</v>
          </cell>
          <cell r="E24">
            <v>187.24822947700002</v>
          </cell>
          <cell r="F24">
            <v>54.263271263400007</v>
          </cell>
          <cell r="G24">
            <v>0.39383674400000002</v>
          </cell>
          <cell r="H24">
            <v>8.4322003885999983</v>
          </cell>
          <cell r="I24">
            <v>59.047817740299969</v>
          </cell>
          <cell r="J24">
            <v>49.371978708500009</v>
          </cell>
          <cell r="K24">
            <v>140.15653410969998</v>
          </cell>
        </row>
        <row r="25">
          <cell r="B25">
            <v>7.9431053069999997</v>
          </cell>
          <cell r="C25">
            <v>0</v>
          </cell>
          <cell r="D25">
            <v>3.5943977000000002E-2</v>
          </cell>
          <cell r="E25">
            <v>38.608576329999998</v>
          </cell>
          <cell r="F25">
            <v>123.91023393890001</v>
          </cell>
          <cell r="G25">
            <v>89.800271018999993</v>
          </cell>
          <cell r="H25">
            <v>462.88195882009995</v>
          </cell>
          <cell r="I25">
            <v>0.66004800100000016</v>
          </cell>
          <cell r="J25">
            <v>55.617778951999988</v>
          </cell>
          <cell r="K25">
            <v>19.241322260999993</v>
          </cell>
        </row>
        <row r="27">
          <cell r="B27">
            <v>1.5720317801739359</v>
          </cell>
          <cell r="C27">
            <v>2.6229799271811256</v>
          </cell>
          <cell r="D27">
            <v>2.2833356258603872</v>
          </cell>
          <cell r="E27">
            <v>1.9729966149561524</v>
          </cell>
          <cell r="F27">
            <v>0.88936369139874216</v>
          </cell>
          <cell r="G27">
            <v>1.3122588837529054E-2</v>
          </cell>
          <cell r="H27">
            <v>7.8569237053488311E-2</v>
          </cell>
          <cell r="I27">
            <v>0.23625446564232139</v>
          </cell>
          <cell r="J27">
            <v>0.28978685357372042</v>
          </cell>
          <cell r="K27">
            <v>3.2941942010771945</v>
          </cell>
        </row>
        <row r="28">
          <cell r="B28">
            <v>2.2827663841751521E-3</v>
          </cell>
          <cell r="C28">
            <v>0</v>
          </cell>
          <cell r="D28">
            <v>0</v>
          </cell>
          <cell r="E28">
            <v>0.38571387912381105</v>
          </cell>
          <cell r="F28">
            <v>0.81311868811217125</v>
          </cell>
          <cell r="G28">
            <v>1.2565318586273546</v>
          </cell>
          <cell r="H28">
            <v>1.1350919745352313</v>
          </cell>
          <cell r="I28">
            <v>0</v>
          </cell>
          <cell r="J28">
            <v>1.71777670470204</v>
          </cell>
          <cell r="K28">
            <v>4.2499233431515994E-2</v>
          </cell>
        </row>
        <row r="30">
          <cell r="B30">
            <v>0.54199746140452154</v>
          </cell>
        </row>
        <row r="31">
          <cell r="B31">
            <v>0.37473722546719629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0.64078605391120658</v>
          </cell>
          <cell r="G33">
            <v>1.6344677646517614</v>
          </cell>
          <cell r="H33">
            <v>1.3664935378999559</v>
          </cell>
          <cell r="I33">
            <v>0</v>
          </cell>
          <cell r="J33">
            <v>2.0855347528654002</v>
          </cell>
          <cell r="K33">
            <v>0</v>
          </cell>
        </row>
        <row r="34">
          <cell r="I34">
            <v>1.5500635034819998</v>
          </cell>
        </row>
        <row r="38">
          <cell r="B38">
            <v>197.68213623645033</v>
          </cell>
          <cell r="C38">
            <v>672.91003741998895</v>
          </cell>
          <cell r="D38">
            <v>164.81927642996453</v>
          </cell>
          <cell r="E38">
            <v>364.67290879390168</v>
          </cell>
          <cell r="F38">
            <v>48.51066104964189</v>
          </cell>
          <cell r="G38">
            <v>0.13982215634558734</v>
          </cell>
          <cell r="H38">
            <v>2.6467087012565975</v>
          </cell>
          <cell r="I38">
            <v>47.472187156013078</v>
          </cell>
          <cell r="J38">
            <v>18.945054976557614</v>
          </cell>
          <cell r="K38">
            <v>425.19759870724408</v>
          </cell>
        </row>
        <row r="39">
          <cell r="B39">
            <v>3.9438008734002314E-2</v>
          </cell>
          <cell r="C39">
            <v>0</v>
          </cell>
          <cell r="D39">
            <v>0</v>
          </cell>
          <cell r="E39">
            <v>13.846987746146342</v>
          </cell>
          <cell r="F39">
            <v>101.39920976714097</v>
          </cell>
          <cell r="G39">
            <v>111.29529783141011</v>
          </cell>
          <cell r="H39">
            <v>511.80764400103556</v>
          </cell>
          <cell r="I39">
            <v>0</v>
          </cell>
          <cell r="J39">
            <v>93.386178613756229</v>
          </cell>
          <cell r="K39">
            <v>0.93798330064718738</v>
          </cell>
        </row>
        <row r="41">
          <cell r="B41">
            <v>115.3341330005906</v>
          </cell>
          <cell r="C41">
            <v>291.48623474335164</v>
          </cell>
          <cell r="D41">
            <v>84.15594583228004</v>
          </cell>
          <cell r="E41">
            <v>181.40655033209336</v>
          </cell>
          <cell r="F41">
            <v>92.735765646313638</v>
          </cell>
          <cell r="G41">
            <v>79.67362682646467</v>
          </cell>
          <cell r="H41">
            <v>64.757856688612222</v>
          </cell>
          <cell r="I41">
            <v>140.9193399651756</v>
          </cell>
          <cell r="J41">
            <v>419.74993398473174</v>
          </cell>
          <cell r="K41">
            <v>136.67549984237817</v>
          </cell>
        </row>
        <row r="42">
          <cell r="B42">
            <v>6.6328488907693757</v>
          </cell>
          <cell r="C42">
            <v>0</v>
          </cell>
          <cell r="D42">
            <v>3.7473722546719629E-2</v>
          </cell>
          <cell r="E42">
            <v>43.372086475573298</v>
          </cell>
          <cell r="F42">
            <v>156.50150747186521</v>
          </cell>
          <cell r="G42">
            <v>64.387350079773668</v>
          </cell>
          <cell r="H42">
            <v>359.71740596695361</v>
          </cell>
          <cell r="I42">
            <v>0.50964262663538695</v>
          </cell>
          <cell r="J42">
            <v>41.116168378260788</v>
          </cell>
          <cell r="K42">
            <v>16.394753614189842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79.975860186181734</v>
          </cell>
          <cell r="G44">
            <v>144.68614640952018</v>
          </cell>
          <cell r="H44">
            <v>614.99437356289013</v>
          </cell>
          <cell r="I44">
            <v>0</v>
          </cell>
          <cell r="J44">
            <v>112.73291521543351</v>
          </cell>
          <cell r="K44">
            <v>0</v>
          </cell>
        </row>
        <row r="45">
          <cell r="B45">
            <v>27.436124011631403</v>
          </cell>
          <cell r="C45">
            <v>0</v>
          </cell>
          <cell r="D45">
            <v>0.15500635034820001</v>
          </cell>
          <cell r="E45">
            <v>179.40434989300664</v>
          </cell>
          <cell r="F45">
            <v>647.35302095918769</v>
          </cell>
          <cell r="G45">
            <v>266.33191116827726</v>
          </cell>
          <cell r="H45">
            <v>1487.9355043028747</v>
          </cell>
          <cell r="I45">
            <v>2.1080863647355201</v>
          </cell>
          <cell r="J45">
            <v>170.07296760204505</v>
          </cell>
          <cell r="K45">
            <v>67.815278277337498</v>
          </cell>
        </row>
        <row r="46">
          <cell r="G46">
            <v>0</v>
          </cell>
        </row>
      </sheetData>
      <sheetData sheetId="3">
        <row r="13">
          <cell r="H13">
            <v>720</v>
          </cell>
          <cell r="I13">
            <v>8.2191780821917804E-2</v>
          </cell>
        </row>
        <row r="21">
          <cell r="B21">
            <v>175.74041474708338</v>
          </cell>
          <cell r="C21">
            <v>402.8169229424999</v>
          </cell>
          <cell r="D21">
            <v>107.40600370847224</v>
          </cell>
          <cell r="E21">
            <v>267.42320511180566</v>
          </cell>
          <cell r="F21">
            <v>74.016862513055585</v>
          </cell>
          <cell r="G21">
            <v>3.745531388888889E-2</v>
          </cell>
          <cell r="H21">
            <v>19.939002261805555</v>
          </cell>
          <cell r="I21">
            <v>61.478882096666659</v>
          </cell>
          <cell r="J21">
            <v>65.320277204027775</v>
          </cell>
          <cell r="K21">
            <v>127.66423501319439</v>
          </cell>
        </row>
        <row r="22">
          <cell r="B22">
            <v>10.558045282638886</v>
          </cell>
          <cell r="C22">
            <v>0</v>
          </cell>
          <cell r="D22">
            <v>4.4686355555555571E-2</v>
          </cell>
          <cell r="E22">
            <v>51.453175527777773</v>
          </cell>
          <cell r="F22">
            <v>150.28824632749996</v>
          </cell>
          <cell r="G22">
            <v>121.56352806249997</v>
          </cell>
          <cell r="H22">
            <v>630.20768938305571</v>
          </cell>
          <cell r="I22">
            <v>0.93917259722222235</v>
          </cell>
          <cell r="J22">
            <v>76.215921731944448</v>
          </cell>
          <cell r="K22">
            <v>21.936669315277779</v>
          </cell>
        </row>
        <row r="24">
          <cell r="B24">
            <v>126.53309861790004</v>
          </cell>
          <cell r="C24">
            <v>290.02818451859991</v>
          </cell>
          <cell r="D24">
            <v>77.332322670100012</v>
          </cell>
          <cell r="E24">
            <v>192.54470768050007</v>
          </cell>
          <cell r="F24">
            <v>53.292141009400019</v>
          </cell>
          <cell r="G24">
            <v>2.6967826000000004E-2</v>
          </cell>
          <cell r="H24">
            <v>14.3560816285</v>
          </cell>
          <cell r="I24">
            <v>44.264795109599994</v>
          </cell>
          <cell r="J24">
            <v>47.030599586899996</v>
          </cell>
          <cell r="K24">
            <v>91.918249209499962</v>
          </cell>
        </row>
        <row r="25">
          <cell r="B25">
            <v>7.6017926034999981</v>
          </cell>
          <cell r="C25">
            <v>0</v>
          </cell>
          <cell r="D25">
            <v>3.2174176000000013E-2</v>
          </cell>
          <cell r="E25">
            <v>37.046286379999998</v>
          </cell>
          <cell r="F25">
            <v>108.20753735579997</v>
          </cell>
          <cell r="G25">
            <v>87.525740204999977</v>
          </cell>
          <cell r="H25">
            <v>453.7495363558001</v>
          </cell>
          <cell r="I25">
            <v>0.67620427000000005</v>
          </cell>
          <cell r="J25">
            <v>54.875463647000004</v>
          </cell>
          <cell r="K25">
            <v>15.794401907000001</v>
          </cell>
        </row>
        <row r="27">
          <cell r="B27">
            <v>1.2134289217932936</v>
          </cell>
          <cell r="C27">
            <v>2.284752251414103</v>
          </cell>
          <cell r="D27">
            <v>1.6380574469194067</v>
          </cell>
          <cell r="E27">
            <v>1.8400178907711564</v>
          </cell>
          <cell r="F27">
            <v>0.67442005399612703</v>
          </cell>
          <cell r="G27">
            <v>0</v>
          </cell>
          <cell r="H27">
            <v>0</v>
          </cell>
          <cell r="I27">
            <v>0.77995269322736105</v>
          </cell>
          <cell r="J27">
            <v>0.22910997474401959</v>
          </cell>
          <cell r="K27">
            <v>1.3022393253589599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0.53595842786540815</v>
          </cell>
          <cell r="F28">
            <v>0.68198973569126564</v>
          </cell>
          <cell r="G28">
            <v>1.0854180400141056</v>
          </cell>
          <cell r="H28">
            <v>0.87429434975964082</v>
          </cell>
          <cell r="I28">
            <v>0</v>
          </cell>
          <cell r="J28">
            <v>1.2460891290995357</v>
          </cell>
          <cell r="K28">
            <v>0.15895849635839265</v>
          </cell>
        </row>
        <row r="30">
          <cell r="B30">
            <v>0.66124350449544822</v>
          </cell>
        </row>
        <row r="31">
          <cell r="B31">
            <v>0.45587312523692225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0.56811511668502324</v>
          </cell>
          <cell r="G33">
            <v>1.5134372084698653</v>
          </cell>
          <cell r="H33">
            <v>1.1180660159337925</v>
          </cell>
          <cell r="I33">
            <v>0</v>
          </cell>
          <cell r="J33">
            <v>1.4556844224380932</v>
          </cell>
          <cell r="K33">
            <v>0</v>
          </cell>
        </row>
        <row r="34">
          <cell r="I34">
            <v>1.6029203971682642</v>
          </cell>
        </row>
        <row r="38">
          <cell r="B38">
            <v>147.93737011007903</v>
          </cell>
          <cell r="C38">
            <v>651.86491045930552</v>
          </cell>
          <cell r="D38">
            <v>125.03067265867053</v>
          </cell>
          <cell r="E38">
            <v>352.4695819546385</v>
          </cell>
          <cell r="F38">
            <v>50.851282421036466</v>
          </cell>
          <cell r="G38">
            <v>0</v>
          </cell>
          <cell r="H38">
            <v>0</v>
          </cell>
          <cell r="I38">
            <v>43.219133394830877</v>
          </cell>
          <cell r="J38">
            <v>9.7558748241455113</v>
          </cell>
          <cell r="K38">
            <v>118.0662959816987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20.024898290510922</v>
          </cell>
          <cell r="F39">
            <v>73.556901488021367</v>
          </cell>
          <cell r="G39">
            <v>94.008929142866791</v>
          </cell>
          <cell r="H39">
            <v>385.69929752136017</v>
          </cell>
          <cell r="I39">
            <v>0</v>
          </cell>
          <cell r="J39">
            <v>67.487962448549297</v>
          </cell>
          <cell r="K39">
            <v>3.2193572909331851</v>
          </cell>
        </row>
        <row r="41">
          <cell r="B41">
            <v>140.70904704170709</v>
          </cell>
          <cell r="C41">
            <v>355.61675671765204</v>
          </cell>
          <cell r="D41">
            <v>102.67127894300823</v>
          </cell>
          <cell r="E41">
            <v>221.31820095462649</v>
          </cell>
          <cell r="F41">
            <v>88.89096430932311</v>
          </cell>
          <cell r="G41">
            <v>97.202795160830902</v>
          </cell>
          <cell r="H41">
            <v>79.005373917116145</v>
          </cell>
          <cell r="I41">
            <v>171.92331116881653</v>
          </cell>
          <cell r="J41">
            <v>512.1000320564998</v>
          </cell>
          <cell r="K41">
            <v>166.74577452861715</v>
          </cell>
        </row>
        <row r="42">
          <cell r="B42">
            <v>8.3789480418546312</v>
          </cell>
          <cell r="C42">
            <v>0</v>
          </cell>
          <cell r="D42">
            <v>4.1028581271323E-2</v>
          </cell>
          <cell r="E42">
            <v>50.898234432702381</v>
          </cell>
          <cell r="F42">
            <v>167.79322120595398</v>
          </cell>
          <cell r="G42">
            <v>77.024323240030398</v>
          </cell>
          <cell r="H42">
            <v>453.17891506677216</v>
          </cell>
          <cell r="I42">
            <v>0.6154287190698452</v>
          </cell>
          <cell r="J42">
            <v>50.018399300995114</v>
          </cell>
          <cell r="K42">
            <v>20.359293773080946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61.602363209035261</v>
          </cell>
          <cell r="G44">
            <v>131.42005532550434</v>
          </cell>
          <cell r="H44">
            <v>494.24087666883969</v>
          </cell>
          <cell r="I44">
            <v>0</v>
          </cell>
          <cell r="J44">
            <v>78.66702201522105</v>
          </cell>
          <cell r="K44">
            <v>0</v>
          </cell>
        </row>
        <row r="45">
          <cell r="B45">
            <v>29.4616768999527</v>
          </cell>
          <cell r="C45">
            <v>0</v>
          </cell>
          <cell r="D45">
            <v>0.14426283574514381</v>
          </cell>
          <cell r="E45">
            <v>178.96606234383677</v>
          </cell>
          <cell r="F45">
            <v>589.98691058572308</v>
          </cell>
          <cell r="G45">
            <v>270.82943030554992</v>
          </cell>
          <cell r="H45">
            <v>1593.4471376210004</v>
          </cell>
          <cell r="I45">
            <v>2.1639425361771574</v>
          </cell>
          <cell r="J45">
            <v>175.87242597730202</v>
          </cell>
          <cell r="K45">
            <v>71.586424937534687</v>
          </cell>
        </row>
        <row r="46">
          <cell r="G46">
            <v>0</v>
          </cell>
        </row>
      </sheetData>
      <sheetData sheetId="4">
        <row r="13">
          <cell r="H13">
            <v>744</v>
          </cell>
          <cell r="I13">
            <v>8.493150684931508E-2</v>
          </cell>
        </row>
        <row r="21">
          <cell r="B21">
            <v>193.23812564435485</v>
          </cell>
          <cell r="C21">
            <v>351.55561560336025</v>
          </cell>
          <cell r="D21">
            <v>110.50637969865591</v>
          </cell>
          <cell r="E21">
            <v>266.32015226814519</v>
          </cell>
          <cell r="F21">
            <v>64.843659755645163</v>
          </cell>
          <cell r="G21">
            <v>0.45408371102150547</v>
          </cell>
          <cell r="H21">
            <v>8.6185068266129008</v>
          </cell>
          <cell r="I21">
            <v>39.844276562365607</v>
          </cell>
          <cell r="J21">
            <v>173.16262881935484</v>
          </cell>
          <cell r="K21">
            <v>148.35523257029561</v>
          </cell>
        </row>
        <row r="22">
          <cell r="B22">
            <v>10.307340188440859</v>
          </cell>
          <cell r="C22">
            <v>0</v>
          </cell>
          <cell r="D22">
            <v>4.5746575268817195E-2</v>
          </cell>
          <cell r="E22">
            <v>53.563150760752698</v>
          </cell>
          <cell r="F22">
            <v>155.43473587231182</v>
          </cell>
          <cell r="G22">
            <v>113.36533030376344</v>
          </cell>
          <cell r="H22">
            <v>651.77117815470456</v>
          </cell>
          <cell r="I22">
            <v>0.92574669086021477</v>
          </cell>
          <cell r="J22">
            <v>78.039081555107529</v>
          </cell>
          <cell r="K22">
            <v>24.105153814516129</v>
          </cell>
        </row>
        <row r="24">
          <cell r="B24">
            <v>143.76916547940002</v>
          </cell>
          <cell r="C24">
            <v>261.55737800890006</v>
          </cell>
          <cell r="D24">
            <v>82.216746495799995</v>
          </cell>
          <cell r="E24">
            <v>198.14219328749999</v>
          </cell>
          <cell r="F24">
            <v>48.243682858200003</v>
          </cell>
          <cell r="G24">
            <v>0.33783828100000007</v>
          </cell>
          <cell r="H24">
            <v>6.4121690789999981</v>
          </cell>
          <cell r="I24">
            <v>29.644141762400011</v>
          </cell>
          <cell r="J24">
            <v>128.8329958416</v>
          </cell>
          <cell r="K24">
            <v>110.37629303229994</v>
          </cell>
        </row>
        <row r="25">
          <cell r="B25">
            <v>7.6686611001999996</v>
          </cell>
          <cell r="C25">
            <v>0</v>
          </cell>
          <cell r="D25">
            <v>3.4035451999999994E-2</v>
          </cell>
          <cell r="E25">
            <v>39.850984166000011</v>
          </cell>
          <cell r="F25">
            <v>115.64344348899999</v>
          </cell>
          <cell r="G25">
            <v>84.343805746000001</v>
          </cell>
          <cell r="H25">
            <v>484.91775654710023</v>
          </cell>
          <cell r="I25">
            <v>0.68875553799999978</v>
          </cell>
          <cell r="J25">
            <v>58.061076676999996</v>
          </cell>
          <cell r="K25">
            <v>17.934234438000001</v>
          </cell>
        </row>
        <row r="27">
          <cell r="B27">
            <v>1.2768171360591736</v>
          </cell>
          <cell r="C27">
            <v>3.0332290180108834</v>
          </cell>
          <cell r="D27">
            <v>2.4734216733117886</v>
          </cell>
          <cell r="E27">
            <v>2.3223766028505635</v>
          </cell>
          <cell r="F27">
            <v>0.43915161509293044</v>
          </cell>
          <cell r="G27">
            <v>0</v>
          </cell>
          <cell r="H27">
            <v>0</v>
          </cell>
          <cell r="I27">
            <v>1.2576662154264717</v>
          </cell>
          <cell r="J27">
            <v>0.23620010238690714</v>
          </cell>
          <cell r="K27">
            <v>2.2321485299198618</v>
          </cell>
        </row>
        <row r="28">
          <cell r="B28">
            <v>4.5316693130198508E-3</v>
          </cell>
          <cell r="C28">
            <v>0</v>
          </cell>
          <cell r="D28">
            <v>0</v>
          </cell>
          <cell r="E28">
            <v>0.34210094898369942</v>
          </cell>
          <cell r="F28">
            <v>0.87743470979611116</v>
          </cell>
          <cell r="G28">
            <v>1.3561717111682665</v>
          </cell>
          <cell r="H28">
            <v>1.1038115761645702</v>
          </cell>
          <cell r="I28">
            <v>0</v>
          </cell>
          <cell r="J28">
            <v>1.4594878317712625</v>
          </cell>
          <cell r="K28">
            <v>0.14646862562467497</v>
          </cell>
        </row>
        <row r="30">
          <cell r="B30">
            <v>0.53204934828087214</v>
          </cell>
        </row>
        <row r="31">
          <cell r="B31">
            <v>0.38939057353392326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0.70000861818914195</v>
          </cell>
          <cell r="G33">
            <v>1.7889896513040453</v>
          </cell>
          <cell r="H33">
            <v>1.3594729364539881</v>
          </cell>
          <cell r="I33">
            <v>0</v>
          </cell>
          <cell r="J33">
            <v>1.7018015113834579</v>
          </cell>
          <cell r="K33">
            <v>0</v>
          </cell>
        </row>
        <row r="34">
          <cell r="I34">
            <v>1.6307114318913252</v>
          </cell>
        </row>
        <row r="38">
          <cell r="B38">
            <v>186.00642330632479</v>
          </cell>
          <cell r="C38">
            <v>776.88263100916288</v>
          </cell>
          <cell r="D38">
            <v>203.51190274608442</v>
          </cell>
          <cell r="E38">
            <v>457.26271622757264</v>
          </cell>
          <cell r="F38">
            <v>47.985603533915338</v>
          </cell>
          <cell r="G38">
            <v>0</v>
          </cell>
          <cell r="H38">
            <v>0</v>
          </cell>
          <cell r="I38">
            <v>32.809198780225394</v>
          </cell>
          <cell r="J38">
            <v>37.802455964288008</v>
          </cell>
          <cell r="K38">
            <v>233.71419691682129</v>
          </cell>
        </row>
        <row r="39">
          <cell r="B39">
            <v>3.5205401071502003E-2</v>
          </cell>
          <cell r="C39">
            <v>0</v>
          </cell>
          <cell r="D39">
            <v>0</v>
          </cell>
          <cell r="E39">
            <v>13.608301761439277</v>
          </cell>
          <cell r="F39">
            <v>102.02430848787118</v>
          </cell>
          <cell r="G39">
            <v>113.23953358969419</v>
          </cell>
          <cell r="H39">
            <v>525.16131634760666</v>
          </cell>
          <cell r="I39">
            <v>0</v>
          </cell>
          <cell r="J39">
            <v>91.916252913501651</v>
          </cell>
          <cell r="K39">
            <v>2.9117496896973583</v>
          </cell>
        </row>
        <row r="41">
          <cell r="B41">
            <v>113.21722824768889</v>
          </cell>
          <cell r="C41">
            <v>286.13613950545306</v>
          </cell>
          <cell r="D41">
            <v>82.611302307571023</v>
          </cell>
          <cell r="E41">
            <v>178.07691686960794</v>
          </cell>
          <cell r="F41">
            <v>87.548720259617511</v>
          </cell>
          <cell r="G41">
            <v>78.211254197288213</v>
          </cell>
          <cell r="H41">
            <v>63.569256132598603</v>
          </cell>
          <cell r="I41">
            <v>138.33283055302678</v>
          </cell>
          <cell r="J41">
            <v>412.04561777612145</v>
          </cell>
          <cell r="K41">
            <v>134.16688415598753</v>
          </cell>
        </row>
        <row r="42">
          <cell r="B42">
            <v>6.3898993116916794</v>
          </cell>
          <cell r="C42">
            <v>0</v>
          </cell>
          <cell r="D42">
            <v>3.8939057353392328E-2</v>
          </cell>
          <cell r="E42">
            <v>44.733189087577102</v>
          </cell>
          <cell r="F42">
            <v>122.10509604876769</v>
          </cell>
          <cell r="G42">
            <v>64.163778706919885</v>
          </cell>
          <cell r="H42">
            <v>373.81105668683108</v>
          </cell>
          <cell r="I42">
            <v>0.67753959794902652</v>
          </cell>
          <cell r="J42">
            <v>43.202884133588782</v>
          </cell>
          <cell r="K42">
            <v>17.362925673877641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81.603907328138945</v>
          </cell>
          <cell r="G44">
            <v>149.63523662647896</v>
          </cell>
          <cell r="H44">
            <v>646.56040291362683</v>
          </cell>
          <cell r="I44">
            <v>0</v>
          </cell>
          <cell r="J44">
            <v>106.93074033026815</v>
          </cell>
          <cell r="K44">
            <v>0</v>
          </cell>
        </row>
        <row r="45">
          <cell r="B45">
            <v>26.759974597336651</v>
          </cell>
          <cell r="C45">
            <v>0</v>
          </cell>
          <cell r="D45">
            <v>0.16307114318913252</v>
          </cell>
          <cell r="E45">
            <v>187.33612929567542</v>
          </cell>
          <cell r="F45">
            <v>511.35849081248176</v>
          </cell>
          <cell r="G45">
            <v>268.70862974705261</v>
          </cell>
          <cell r="H45">
            <v>1565.4666675013532</v>
          </cell>
          <cell r="I45">
            <v>2.8374378914909055</v>
          </cell>
          <cell r="J45">
            <v>180.92743336834255</v>
          </cell>
          <cell r="K45">
            <v>72.713422748034191</v>
          </cell>
        </row>
        <row r="46">
          <cell r="G46">
            <v>0</v>
          </cell>
        </row>
      </sheetData>
      <sheetData sheetId="5">
        <row r="13">
          <cell r="H13">
            <v>720</v>
          </cell>
          <cell r="I13">
            <v>8.2191780821917818E-2</v>
          </cell>
        </row>
        <row r="21">
          <cell r="B21">
            <v>145.94568258486109</v>
          </cell>
          <cell r="C21">
            <v>295.58978948333333</v>
          </cell>
          <cell r="D21">
            <v>84.64019639763886</v>
          </cell>
          <cell r="E21">
            <v>226.70465932263897</v>
          </cell>
          <cell r="F21">
            <v>84.149824981944477</v>
          </cell>
          <cell r="G21">
            <v>52.385896152777775</v>
          </cell>
          <cell r="H21">
            <v>3.1184741888888885</v>
          </cell>
          <cell r="I21">
            <v>40.915761562500002</v>
          </cell>
          <cell r="J21">
            <v>205.33719333125001</v>
          </cell>
          <cell r="K21">
            <v>126.37635702625009</v>
          </cell>
        </row>
        <row r="22">
          <cell r="B22">
            <v>60.036022490972208</v>
          </cell>
          <cell r="C22">
            <v>0</v>
          </cell>
          <cell r="D22">
            <v>4.4751066666666658E-2</v>
          </cell>
          <cell r="E22">
            <v>53.633971129861131</v>
          </cell>
          <cell r="F22">
            <v>189.23891833527779</v>
          </cell>
          <cell r="G22">
            <v>126.0216065125</v>
          </cell>
          <cell r="H22">
            <v>588.02564618888891</v>
          </cell>
          <cell r="I22">
            <v>0.9285607611111113</v>
          </cell>
          <cell r="J22">
            <v>66.653001745833336</v>
          </cell>
          <cell r="K22">
            <v>40.736214653888887</v>
          </cell>
        </row>
        <row r="24">
          <cell r="B24">
            <v>105.08089146109998</v>
          </cell>
          <cell r="C24">
            <v>212.82464842799999</v>
          </cell>
          <cell r="D24">
            <v>60.940941406299977</v>
          </cell>
          <cell r="E24">
            <v>163.22735471230007</v>
          </cell>
          <cell r="F24">
            <v>60.58787398700003</v>
          </cell>
          <cell r="G24">
            <v>37.717845230000002</v>
          </cell>
          <cell r="H24">
            <v>2.2453014159999998</v>
          </cell>
          <cell r="I24">
            <v>29.459348325000001</v>
          </cell>
          <cell r="J24">
            <v>147.84277919850001</v>
          </cell>
          <cell r="K24">
            <v>90.990977058900071</v>
          </cell>
        </row>
        <row r="25">
          <cell r="B25">
            <v>43.22593619349999</v>
          </cell>
          <cell r="C25">
            <v>0</v>
          </cell>
          <cell r="D25">
            <v>3.222076799999999E-2</v>
          </cell>
          <cell r="E25">
            <v>38.616459213500015</v>
          </cell>
          <cell r="F25">
            <v>136.2520212014</v>
          </cell>
          <cell r="G25">
            <v>90.735556689000006</v>
          </cell>
          <cell r="H25">
            <v>423.37846525600003</v>
          </cell>
          <cell r="I25">
            <v>0.66856374800000018</v>
          </cell>
          <cell r="J25">
            <v>47.990161256999997</v>
          </cell>
          <cell r="K25">
            <v>29.330074550799996</v>
          </cell>
        </row>
        <row r="27">
          <cell r="B27">
            <v>1.2801665293902269</v>
          </cell>
          <cell r="C27">
            <v>2.8011457383061451</v>
          </cell>
          <cell r="D27">
            <v>1.7953515485482501</v>
          </cell>
          <cell r="E27">
            <v>2.0953556074119568</v>
          </cell>
          <cell r="F27">
            <v>1.3565638454356028</v>
          </cell>
          <cell r="G27">
            <v>0.18026484495756842</v>
          </cell>
          <cell r="H27">
            <v>0</v>
          </cell>
          <cell r="I27">
            <v>0.46418525815609557</v>
          </cell>
          <cell r="J27">
            <v>0.36773123277749681</v>
          </cell>
          <cell r="K27">
            <v>2.9323060904831659</v>
          </cell>
        </row>
        <row r="28">
          <cell r="B28">
            <v>0.10540602766216343</v>
          </cell>
          <cell r="C28">
            <v>0</v>
          </cell>
          <cell r="D28">
            <v>0</v>
          </cell>
          <cell r="E28">
            <v>0.3363013739777852</v>
          </cell>
          <cell r="F28">
            <v>0.8188569360651583</v>
          </cell>
          <cell r="G28">
            <v>1.1876047636460076</v>
          </cell>
          <cell r="H28">
            <v>0.8947398076396218</v>
          </cell>
          <cell r="I28">
            <v>0</v>
          </cell>
          <cell r="J28">
            <v>1.3350680112900435</v>
          </cell>
          <cell r="K28">
            <v>0.10385289663521825</v>
          </cell>
        </row>
        <row r="30">
          <cell r="B30">
            <v>0.63173978207076154</v>
          </cell>
        </row>
        <row r="31">
          <cell r="B31">
            <v>0.4308677397077057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0.64551338057751539</v>
          </cell>
          <cell r="G33">
            <v>1.5904568936465842</v>
          </cell>
          <cell r="H33">
            <v>1.15480200970003</v>
          </cell>
          <cell r="I33">
            <v>0</v>
          </cell>
          <cell r="J33">
            <v>1.4712225690942498</v>
          </cell>
          <cell r="K33">
            <v>0</v>
          </cell>
        </row>
        <row r="34">
          <cell r="I34">
            <v>1.5810293919872225</v>
          </cell>
        </row>
        <row r="38">
          <cell r="B38">
            <v>146.1688463134831</v>
          </cell>
          <cell r="C38">
            <v>593.57975719076649</v>
          </cell>
          <cell r="D38">
            <v>112.57196215046773</v>
          </cell>
          <cell r="E38">
            <v>324.01447976283919</v>
          </cell>
          <cell r="F38">
            <v>75.760691973503953</v>
          </cell>
          <cell r="G38">
            <v>14.537368544447855</v>
          </cell>
          <cell r="H38">
            <v>0</v>
          </cell>
          <cell r="I38">
            <v>30.27975346943111</v>
          </cell>
          <cell r="J38">
            <v>54.142749356875917</v>
          </cell>
          <cell r="K38">
            <v>243.89790432232328</v>
          </cell>
        </row>
        <row r="39">
          <cell r="B39">
            <v>1.1720122039647447</v>
          </cell>
          <cell r="C39">
            <v>0</v>
          </cell>
          <cell r="D39">
            <v>0</v>
          </cell>
          <cell r="E39">
            <v>12.814933881587637</v>
          </cell>
          <cell r="F39">
            <v>117.04494163965268</v>
          </cell>
          <cell r="G39">
            <v>106.45973954936835</v>
          </cell>
          <cell r="H39">
            <v>376.88429374028311</v>
          </cell>
          <cell r="I39">
            <v>0</v>
          </cell>
          <cell r="J39">
            <v>68.384389813621468</v>
          </cell>
          <cell r="K39">
            <v>4.4238067548234286</v>
          </cell>
        </row>
        <row r="41">
          <cell r="B41">
            <v>134.43081422983488</v>
          </cell>
          <cell r="C41">
            <v>339.74965479765552</v>
          </cell>
          <cell r="D41">
            <v>98.090235962127124</v>
          </cell>
          <cell r="E41">
            <v>211.44330505908385</v>
          </cell>
          <cell r="F41">
            <v>109.37310846991093</v>
          </cell>
          <cell r="G41">
            <v>92.865747964401933</v>
          </cell>
          <cell r="H41">
            <v>41.663238627566727</v>
          </cell>
          <cell r="I41">
            <v>164.25234333839796</v>
          </cell>
          <cell r="J41">
            <v>489.25087422470125</v>
          </cell>
          <cell r="K41">
            <v>159.30582084478394</v>
          </cell>
        </row>
        <row r="42">
          <cell r="B42">
            <v>6.8335623517642112</v>
          </cell>
          <cell r="C42">
            <v>0</v>
          </cell>
          <cell r="D42">
            <v>2.5852064382462341E-2</v>
          </cell>
          <cell r="E42">
            <v>48.481238071911044</v>
          </cell>
          <cell r="F42">
            <v>186.08315942496392</v>
          </cell>
          <cell r="G42">
            <v>70.632148570284173</v>
          </cell>
          <cell r="H42">
            <v>407.4299005183413</v>
          </cell>
          <cell r="I42">
            <v>0.58167144860540265</v>
          </cell>
          <cell r="J42">
            <v>46.577879831752263</v>
          </cell>
          <cell r="K42">
            <v>18.475608678666422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94.10290480445326</v>
          </cell>
          <cell r="G44">
            <v>142.97808229353956</v>
          </cell>
          <cell r="H44">
            <v>483.72055859341958</v>
          </cell>
          <cell r="I44">
            <v>0</v>
          </cell>
          <cell r="J44">
            <v>76.657943642080198</v>
          </cell>
          <cell r="K44">
            <v>0</v>
          </cell>
        </row>
        <row r="45">
          <cell r="B45">
            <v>25.075126156917353</v>
          </cell>
          <cell r="C45">
            <v>0</v>
          </cell>
          <cell r="D45">
            <v>9.4861763519233366E-2</v>
          </cell>
          <cell r="E45">
            <v>177.89742718640227</v>
          </cell>
          <cell r="F45">
            <v>682.81497381144175</v>
          </cell>
          <cell r="G45">
            <v>259.17814822846543</v>
          </cell>
          <cell r="H45">
            <v>1495.0264049262898</v>
          </cell>
          <cell r="I45">
            <v>2.1343896791827506</v>
          </cell>
          <cell r="J45">
            <v>170.91322984729874</v>
          </cell>
          <cell r="K45">
            <v>67.794540328412126</v>
          </cell>
        </row>
        <row r="46">
          <cell r="G46">
            <v>0</v>
          </cell>
        </row>
      </sheetData>
      <sheetData sheetId="6">
        <row r="13">
          <cell r="H13">
            <v>744</v>
          </cell>
          <cell r="I13">
            <v>8.4931506849315053E-2</v>
          </cell>
        </row>
        <row r="21">
          <cell r="B21">
            <v>72.745791852419373</v>
          </cell>
          <cell r="C21">
            <v>322.17313122513451</v>
          </cell>
          <cell r="D21">
            <v>65.25784911169356</v>
          </cell>
          <cell r="E21">
            <v>150.13654397903221</v>
          </cell>
          <cell r="F21">
            <v>134.74114554314514</v>
          </cell>
          <cell r="G21">
            <v>102.88814655913981</v>
          </cell>
          <cell r="H21">
            <v>0.96422949193548424</v>
          </cell>
          <cell r="I21">
            <v>61.510161273387084</v>
          </cell>
          <cell r="J21">
            <v>334.82081234784948</v>
          </cell>
          <cell r="K21">
            <v>85.849127935349514</v>
          </cell>
        </row>
        <row r="22">
          <cell r="B22">
            <v>27.243275768951619</v>
          </cell>
          <cell r="C22">
            <v>0</v>
          </cell>
          <cell r="D22">
            <v>4.4671560483870977E-2</v>
          </cell>
          <cell r="E22">
            <v>62.19073802419355</v>
          </cell>
          <cell r="F22">
            <v>294.67538765927424</v>
          </cell>
          <cell r="G22">
            <v>133.71335928763438</v>
          </cell>
          <cell r="H22">
            <v>594.57222965322569</v>
          </cell>
          <cell r="I22">
            <v>0.93773586827957001</v>
          </cell>
          <cell r="J22">
            <v>75.21736861693546</v>
          </cell>
          <cell r="K22">
            <v>29.272558773655913</v>
          </cell>
        </row>
        <row r="24">
          <cell r="B24">
            <v>54.122869138200016</v>
          </cell>
          <cell r="C24">
            <v>239.69680963150006</v>
          </cell>
          <cell r="D24">
            <v>48.551839739100011</v>
          </cell>
          <cell r="E24">
            <v>111.70158872039997</v>
          </cell>
          <cell r="F24">
            <v>100.24741228409999</v>
          </cell>
          <cell r="G24">
            <v>76.548781040000023</v>
          </cell>
          <cell r="H24">
            <v>0.7173867420000003</v>
          </cell>
          <cell r="I24">
            <v>45.763559987399987</v>
          </cell>
          <cell r="J24">
            <v>249.10668438680003</v>
          </cell>
          <cell r="K24">
            <v>63.871751183900045</v>
          </cell>
        </row>
        <row r="25">
          <cell r="B25">
            <v>20.268997172100004</v>
          </cell>
          <cell r="C25">
            <v>0</v>
          </cell>
          <cell r="D25">
            <v>3.323564100000001E-2</v>
          </cell>
          <cell r="E25">
            <v>46.269909089999999</v>
          </cell>
          <cell r="F25">
            <v>219.23848841850003</v>
          </cell>
          <cell r="G25">
            <v>99.482739309999971</v>
          </cell>
          <cell r="H25">
            <v>442.36173886199992</v>
          </cell>
          <cell r="I25">
            <v>0.69767548600000007</v>
          </cell>
          <cell r="J25">
            <v>55.961722250999983</v>
          </cell>
          <cell r="K25">
            <v>21.7787837276</v>
          </cell>
        </row>
        <row r="27">
          <cell r="B27">
            <v>1.3863153283095511</v>
          </cell>
          <cell r="C27">
            <v>2.9448528799873332</v>
          </cell>
          <cell r="D27">
            <v>1.3052498465942197</v>
          </cell>
          <cell r="E27">
            <v>2.1351929320155327</v>
          </cell>
          <cell r="F27">
            <v>2.5071027311743315</v>
          </cell>
          <cell r="G27">
            <v>0.25500886103672554</v>
          </cell>
          <cell r="H27">
            <v>0</v>
          </cell>
          <cell r="I27">
            <v>1.2795663284518122</v>
          </cell>
          <cell r="J27">
            <v>0.26460222170823816</v>
          </cell>
          <cell r="K27">
            <v>3.24070354052304</v>
          </cell>
        </row>
        <row r="28">
          <cell r="B28">
            <v>7.5355868009895369E-2</v>
          </cell>
          <cell r="C28">
            <v>0</v>
          </cell>
          <cell r="D28">
            <v>0</v>
          </cell>
          <cell r="E28">
            <v>0.44782561683073763</v>
          </cell>
          <cell r="F28">
            <v>0.96037354578720913</v>
          </cell>
          <cell r="G28">
            <v>1.0906999124687402</v>
          </cell>
          <cell r="H28">
            <v>0.66734896563743462</v>
          </cell>
          <cell r="I28">
            <v>0</v>
          </cell>
          <cell r="J28">
            <v>1.2392242375831215</v>
          </cell>
          <cell r="K28">
            <v>5.9841630144647953E-2</v>
          </cell>
        </row>
        <row r="30">
          <cell r="B30">
            <v>0.69729118249696864</v>
          </cell>
        </row>
        <row r="31">
          <cell r="B31">
            <v>0.40974821325062821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0.78435545168452647</v>
          </cell>
          <cell r="G33">
            <v>1.5044993840853162</v>
          </cell>
          <cell r="H33">
            <v>0.87796202062535067</v>
          </cell>
          <cell r="I33">
            <v>0</v>
          </cell>
          <cell r="J33">
            <v>1.2230882932199041</v>
          </cell>
          <cell r="K33">
            <v>0</v>
          </cell>
        </row>
        <row r="34">
          <cell r="I34">
            <v>1.5106589665504393</v>
          </cell>
        </row>
        <row r="38">
          <cell r="B38">
            <v>83.926593137193635</v>
          </cell>
          <cell r="C38">
            <v>681.56918888364555</v>
          </cell>
          <cell r="D38">
            <v>61.571767332209944</v>
          </cell>
          <cell r="E38">
            <v>224.39097491488505</v>
          </cell>
          <cell r="F38">
            <v>199.15919348105291</v>
          </cell>
          <cell r="G38">
            <v>30.181314962924358</v>
          </cell>
          <cell r="H38">
            <v>0</v>
          </cell>
          <cell r="I38">
            <v>78.518515830481519</v>
          </cell>
          <cell r="J38">
            <v>66.071392961707062</v>
          </cell>
          <cell r="K38">
            <v>202.26955374459794</v>
          </cell>
        </row>
        <row r="39">
          <cell r="B39">
            <v>1.0040633433119464</v>
          </cell>
          <cell r="C39">
            <v>0</v>
          </cell>
          <cell r="D39">
            <v>0</v>
          </cell>
          <cell r="E39">
            <v>20.128795947262656</v>
          </cell>
          <cell r="F39">
            <v>207.29018489219558</v>
          </cell>
          <cell r="G39">
            <v>107.25820923744628</v>
          </cell>
          <cell r="H39">
            <v>294.93662198470753</v>
          </cell>
          <cell r="I39">
            <v>0</v>
          </cell>
          <cell r="J39">
            <v>68.156551832683547</v>
          </cell>
          <cell r="K39">
            <v>1.4092487135216409</v>
          </cell>
        </row>
        <row r="41">
          <cell r="B41">
            <v>148.37979826296944</v>
          </cell>
          <cell r="C41">
            <v>375.00319794686965</v>
          </cell>
          <cell r="D41">
            <v>108.26840190630431</v>
          </cell>
          <cell r="E41">
            <v>233.38335878173538</v>
          </cell>
          <cell r="F41">
            <v>10.863796623302772</v>
          </cell>
          <cell r="G41">
            <v>103.19909500955134</v>
          </cell>
          <cell r="H41">
            <v>45.986353485675089</v>
          </cell>
          <cell r="I41">
            <v>181.29570744921185</v>
          </cell>
          <cell r="J41">
            <v>540.01715628477734</v>
          </cell>
          <cell r="K41">
            <v>175.83591749026058</v>
          </cell>
        </row>
        <row r="42">
          <cell r="B42">
            <v>9.420111422631944</v>
          </cell>
          <cell r="C42">
            <v>0</v>
          </cell>
          <cell r="D42">
            <v>2.4584892795037689E-2</v>
          </cell>
          <cell r="E42">
            <v>44.220027174007782</v>
          </cell>
          <cell r="F42">
            <v>230.58580700679096</v>
          </cell>
          <cell r="G42">
            <v>70.501277571903088</v>
          </cell>
          <cell r="H42">
            <v>402.80849747622506</v>
          </cell>
          <cell r="I42">
            <v>0.55316008788834803</v>
          </cell>
          <cell r="J42">
            <v>45.338639796182008</v>
          </cell>
          <cell r="K42">
            <v>17.746195115884706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169.22949216376344</v>
          </cell>
          <cell r="G44">
            <v>147.87785556658446</v>
          </cell>
          <cell r="H44">
            <v>385.49100867061094</v>
          </cell>
          <cell r="I44">
            <v>0</v>
          </cell>
          <cell r="J44">
            <v>70.810788678446428</v>
          </cell>
          <cell r="K44">
            <v>0</v>
          </cell>
        </row>
        <row r="45">
          <cell r="B45">
            <v>34.730049640994608</v>
          </cell>
          <cell r="C45">
            <v>0</v>
          </cell>
          <cell r="D45">
            <v>9.0639537993026348E-2</v>
          </cell>
          <cell r="E45">
            <v>163.03031567012343</v>
          </cell>
          <cell r="F45">
            <v>850.12333342625982</v>
          </cell>
          <cell r="G45">
            <v>259.92398178466857</v>
          </cell>
          <cell r="H45">
            <v>1485.0736350690759</v>
          </cell>
          <cell r="I45">
            <v>2.0393896048430937</v>
          </cell>
          <cell r="J45">
            <v>167.15441464880612</v>
          </cell>
          <cell r="K45">
            <v>65.426639841299533</v>
          </cell>
        </row>
        <row r="46">
          <cell r="G46">
            <v>0</v>
          </cell>
        </row>
      </sheetData>
      <sheetData sheetId="7">
        <row r="13">
          <cell r="H13">
            <v>744</v>
          </cell>
          <cell r="I13">
            <v>8.4931506849315053E-2</v>
          </cell>
        </row>
        <row r="21">
          <cell r="B21">
            <v>50.083396092607501</v>
          </cell>
          <cell r="C21">
            <v>261.26718670564509</v>
          </cell>
          <cell r="D21">
            <v>33.360989945295699</v>
          </cell>
          <cell r="E21">
            <v>108.77406347647846</v>
          </cell>
          <cell r="F21">
            <v>215.15196424341394</v>
          </cell>
          <cell r="G21">
            <v>119.56841422983872</v>
          </cell>
          <cell r="H21">
            <v>2.3392150564516125</v>
          </cell>
          <cell r="I21">
            <v>40.54302698548387</v>
          </cell>
          <cell r="J21">
            <v>366.25230144999995</v>
          </cell>
          <cell r="K21">
            <v>67.819444198790407</v>
          </cell>
        </row>
        <row r="22">
          <cell r="B22">
            <v>14.399412204166662</v>
          </cell>
          <cell r="C22">
            <v>0</v>
          </cell>
          <cell r="D22">
            <v>5.7447965053763442E-2</v>
          </cell>
          <cell r="E22">
            <v>66.814673308602167</v>
          </cell>
          <cell r="F22">
            <v>267.06947633064522</v>
          </cell>
          <cell r="G22">
            <v>129.77805955564517</v>
          </cell>
          <cell r="H22">
            <v>579.1724195819894</v>
          </cell>
          <cell r="I22">
            <v>0.93955759946236572</v>
          </cell>
          <cell r="J22">
            <v>79.98802468145162</v>
          </cell>
          <cell r="K22">
            <v>22.951886502284939</v>
          </cell>
        </row>
        <row r="24">
          <cell r="B24">
            <v>37.262046692899979</v>
          </cell>
          <cell r="C24">
            <v>194.38278690899995</v>
          </cell>
          <cell r="D24">
            <v>24.820576519300001</v>
          </cell>
          <cell r="E24">
            <v>80.927903226499964</v>
          </cell>
          <cell r="F24">
            <v>160.07306139709999</v>
          </cell>
          <cell r="G24">
            <v>88.958900187000012</v>
          </cell>
          <cell r="H24">
            <v>1.7403760019999996</v>
          </cell>
          <cell r="I24">
            <v>30.164012077200002</v>
          </cell>
          <cell r="J24">
            <v>272.49171227879998</v>
          </cell>
          <cell r="K24">
            <v>50.457666483900056</v>
          </cell>
        </row>
        <row r="25">
          <cell r="B25">
            <v>10.713162679899996</v>
          </cell>
          <cell r="C25">
            <v>0</v>
          </cell>
          <cell r="D25">
            <v>4.2741286000000003E-2</v>
          </cell>
          <cell r="E25">
            <v>49.710116941600013</v>
          </cell>
          <cell r="F25">
            <v>198.69969039000003</v>
          </cell>
          <cell r="G25">
            <v>96.554876309400015</v>
          </cell>
          <cell r="H25">
            <v>430.90428016900012</v>
          </cell>
          <cell r="I25">
            <v>0.69903085400000009</v>
          </cell>
          <cell r="J25">
            <v>59.511090363000001</v>
          </cell>
          <cell r="K25">
            <v>17.076203557699994</v>
          </cell>
        </row>
        <row r="27">
          <cell r="B27">
            <v>3.2875514086048008</v>
          </cell>
          <cell r="C27">
            <v>3.2852726382329935</v>
          </cell>
          <cell r="D27">
            <v>1.6208854063848157</v>
          </cell>
          <cell r="E27">
            <v>2.0409981086622624</v>
          </cell>
          <cell r="F27">
            <v>1.6283874203404514</v>
          </cell>
          <cell r="G27">
            <v>0.36926739487411958</v>
          </cell>
          <cell r="H27">
            <v>0</v>
          </cell>
          <cell r="I27">
            <v>0.69923676849446725</v>
          </cell>
          <cell r="J27">
            <v>0.50689589491366882</v>
          </cell>
          <cell r="K27">
            <v>4.2268343718403836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0.34668375462153267</v>
          </cell>
          <cell r="F28">
            <v>1.0437480093300981</v>
          </cell>
          <cell r="G28">
            <v>0.96049001842980553</v>
          </cell>
          <cell r="H28">
            <v>0.68285794673504008</v>
          </cell>
          <cell r="I28">
            <v>0</v>
          </cell>
          <cell r="J28">
            <v>1.182941924173903</v>
          </cell>
          <cell r="K28">
            <v>8.4330100209230249E-2</v>
          </cell>
        </row>
        <row r="30">
          <cell r="B30">
            <v>0.68852320207849327</v>
          </cell>
        </row>
        <row r="31">
          <cell r="B31">
            <v>0.47033985709900261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0.8353834190786128</v>
          </cell>
          <cell r="G33">
            <v>1.2810653105352294</v>
          </cell>
          <cell r="H33">
            <v>0.87311597465706348</v>
          </cell>
          <cell r="I33">
            <v>0</v>
          </cell>
          <cell r="J33">
            <v>0.83873524884624517</v>
          </cell>
          <cell r="K33">
            <v>0</v>
          </cell>
        </row>
        <row r="34">
          <cell r="I34">
            <v>1.7054261899086449</v>
          </cell>
        </row>
        <row r="38">
          <cell r="B38">
            <v>107.96723104776925</v>
          </cell>
          <cell r="C38">
            <v>601.4153439187395</v>
          </cell>
          <cell r="D38">
            <v>30.155524218890616</v>
          </cell>
          <cell r="E38">
            <v>159.27038576336292</v>
          </cell>
          <cell r="F38">
            <v>268.25166315628672</v>
          </cell>
          <cell r="G38">
            <v>32.984311823880887</v>
          </cell>
          <cell r="H38">
            <v>0</v>
          </cell>
          <cell r="I38">
            <v>44.826484908555621</v>
          </cell>
          <cell r="J38">
            <v>107.93920440798925</v>
          </cell>
          <cell r="K38">
            <v>204.15871251648943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16.921791459530571</v>
          </cell>
          <cell r="F39">
            <v>200.86768875126734</v>
          </cell>
          <cell r="G39">
            <v>91.365951450385225</v>
          </cell>
          <cell r="H39">
            <v>292.68845840150624</v>
          </cell>
          <cell r="I39">
            <v>0</v>
          </cell>
          <cell r="J39">
            <v>66.078767346259909</v>
          </cell>
          <cell r="K39">
            <v>1.5027959691219146</v>
          </cell>
        </row>
        <row r="41">
          <cell r="B41">
            <v>146.51401937701215</v>
          </cell>
          <cell r="C41">
            <v>370.2877780778137</v>
          </cell>
          <cell r="D41">
            <v>106.90699758672763</v>
          </cell>
          <cell r="E41">
            <v>245.5644115898001</v>
          </cell>
          <cell r="F41">
            <v>63.034299150286053</v>
          </cell>
          <cell r="G41">
            <v>101.90143390761699</v>
          </cell>
          <cell r="H41">
            <v>72.845754779904581</v>
          </cell>
          <cell r="I41">
            <v>179.01603254040825</v>
          </cell>
          <cell r="J41">
            <v>533.2267938496891</v>
          </cell>
          <cell r="K41">
            <v>173.62489586813362</v>
          </cell>
        </row>
        <row r="42">
          <cell r="B42">
            <v>8.1650999192386848</v>
          </cell>
          <cell r="C42">
            <v>0</v>
          </cell>
          <cell r="D42">
            <v>4.2330587138910226E-2</v>
          </cell>
          <cell r="E42">
            <v>47.894707648391432</v>
          </cell>
          <cell r="F42">
            <v>209.12250726335853</v>
          </cell>
          <cell r="G42">
            <v>74.779333880170441</v>
          </cell>
          <cell r="H42">
            <v>440.49380933001754</v>
          </cell>
          <cell r="I42">
            <v>0.80898455421028448</v>
          </cell>
          <cell r="J42">
            <v>50.904882733825048</v>
          </cell>
          <cell r="K42">
            <v>19.744867201016131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161.22468974796502</v>
          </cell>
          <cell r="G44">
            <v>122.21915244976788</v>
          </cell>
          <cell r="H44">
            <v>372.37073127235323</v>
          </cell>
          <cell r="I44">
            <v>0</v>
          </cell>
          <cell r="J44">
            <v>56.039952442309904</v>
          </cell>
          <cell r="K44">
            <v>0</v>
          </cell>
        </row>
        <row r="45">
          <cell r="B45">
            <v>29.606198656814076</v>
          </cell>
          <cell r="C45">
            <v>0</v>
          </cell>
          <cell r="D45">
            <v>0.15348835709177802</v>
          </cell>
          <cell r="E45">
            <v>173.66354891839728</v>
          </cell>
          <cell r="F45">
            <v>758.26659255718153</v>
          </cell>
          <cell r="G45">
            <v>271.14570993357546</v>
          </cell>
          <cell r="H45">
            <v>1597.2060789351929</v>
          </cell>
          <cell r="I45">
            <v>2.9333330466428689</v>
          </cell>
          <cell r="J45">
            <v>184.57827653381258</v>
          </cell>
          <cell r="K45">
            <v>71.593791452364911</v>
          </cell>
        </row>
        <row r="46">
          <cell r="G46">
            <v>0</v>
          </cell>
        </row>
      </sheetData>
      <sheetData sheetId="8">
        <row r="13">
          <cell r="H13">
            <v>672</v>
          </cell>
          <cell r="I13">
            <v>7.6712328767123292E-2</v>
          </cell>
        </row>
        <row r="21">
          <cell r="B21">
            <v>39.488036218601202</v>
          </cell>
          <cell r="C21">
            <v>79.313062491071406</v>
          </cell>
          <cell r="D21">
            <v>7.828147361458333</v>
          </cell>
          <cell r="E21">
            <v>102.86373977157737</v>
          </cell>
          <cell r="F21">
            <v>263.35110951830353</v>
          </cell>
          <cell r="G21">
            <v>92.126336281249991</v>
          </cell>
          <cell r="H21">
            <v>2.9951636904761902</v>
          </cell>
          <cell r="I21">
            <v>26.677653476785707</v>
          </cell>
          <cell r="J21">
            <v>455.94677945267841</v>
          </cell>
          <cell r="K21">
            <v>43.039497876488099</v>
          </cell>
        </row>
        <row r="22">
          <cell r="B22">
            <v>12.424216168601189</v>
          </cell>
          <cell r="C22">
            <v>0</v>
          </cell>
          <cell r="D22">
            <v>4.817626934523811E-2</v>
          </cell>
          <cell r="E22">
            <v>69.172121934523815</v>
          </cell>
          <cell r="F22">
            <v>155.23125179077377</v>
          </cell>
          <cell r="G22">
            <v>131.39812093720238</v>
          </cell>
          <cell r="H22">
            <v>590.91365348809506</v>
          </cell>
          <cell r="I22">
            <v>0.63551859375000008</v>
          </cell>
          <cell r="J22">
            <v>78.346992437500006</v>
          </cell>
          <cell r="K22">
            <v>24.754977554017863</v>
          </cell>
        </row>
        <row r="24">
          <cell r="B24">
            <v>26.535960338900008</v>
          </cell>
          <cell r="C24">
            <v>53.298377993999985</v>
          </cell>
          <cell r="D24">
            <v>5.2605150268999994</v>
          </cell>
          <cell r="E24">
            <v>69.124433126499994</v>
          </cell>
          <cell r="F24">
            <v>176.97194559629997</v>
          </cell>
          <cell r="G24">
            <v>61.908897980999996</v>
          </cell>
          <cell r="H24">
            <v>2.0127499999999996</v>
          </cell>
          <cell r="I24">
            <v>17.927383136399996</v>
          </cell>
          <cell r="J24">
            <v>306.39623579219989</v>
          </cell>
          <cell r="K24">
            <v>28.922542573000001</v>
          </cell>
        </row>
        <row r="25">
          <cell r="B25">
            <v>8.3490732652999995</v>
          </cell>
          <cell r="C25">
            <v>0</v>
          </cell>
          <cell r="D25">
            <v>3.2374453000000011E-2</v>
          </cell>
          <cell r="E25">
            <v>46.483665940000009</v>
          </cell>
          <cell r="F25">
            <v>104.31540120339997</v>
          </cell>
          <cell r="G25">
            <v>88.299537269799998</v>
          </cell>
          <cell r="H25">
            <v>397.0939751439999</v>
          </cell>
          <cell r="I25">
            <v>0.42706849500000005</v>
          </cell>
          <cell r="J25">
            <v>52.649178918000004</v>
          </cell>
          <cell r="K25">
            <v>16.635344916300003</v>
          </cell>
        </row>
        <row r="27">
          <cell r="B27">
            <v>2.04485197675442</v>
          </cell>
          <cell r="C27">
            <v>2.9242025615596572</v>
          </cell>
          <cell r="D27">
            <v>3.0809701917968484</v>
          </cell>
          <cell r="E27">
            <v>1.6988396624248225</v>
          </cell>
          <cell r="F27">
            <v>1.8017162720881064</v>
          </cell>
          <cell r="G27">
            <v>0.33267549660498263</v>
          </cell>
          <cell r="H27">
            <v>0.19956445503957815</v>
          </cell>
          <cell r="I27">
            <v>5.5811139834187562E-2</v>
          </cell>
          <cell r="J27">
            <v>0.31214913505881348</v>
          </cell>
          <cell r="K27">
            <v>3.0101038938262357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0.31071765333045359</v>
          </cell>
          <cell r="F28">
            <v>0.76105465481510193</v>
          </cell>
          <cell r="G28">
            <v>0.71468354922638733</v>
          </cell>
          <cell r="H28">
            <v>0.42389915379673143</v>
          </cell>
          <cell r="I28">
            <v>0</v>
          </cell>
          <cell r="J28">
            <v>0.73749181814183618</v>
          </cell>
          <cell r="K28">
            <v>2.486638820497062E-2</v>
          </cell>
        </row>
        <row r="30">
          <cell r="B30">
            <v>0.80623696100806241</v>
          </cell>
        </row>
        <row r="31">
          <cell r="B31">
            <v>0.54198908124965306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0.49420668555724007</v>
          </cell>
          <cell r="G33">
            <v>1.2286480310006691</v>
          </cell>
          <cell r="H33">
            <v>0.58343045805133309</v>
          </cell>
          <cell r="I33">
            <v>0</v>
          </cell>
          <cell r="J33">
            <v>0.3123256609394548</v>
          </cell>
          <cell r="K33">
            <v>0</v>
          </cell>
        </row>
        <row r="34">
          <cell r="I34">
            <v>1.6025163271824781</v>
          </cell>
        </row>
        <row r="38">
          <cell r="B38">
            <v>47.565030005851192</v>
          </cell>
          <cell r="C38">
            <v>143.93056676182931</v>
          </cell>
          <cell r="D38">
            <v>9.8518075320117102</v>
          </cell>
          <cell r="E38">
            <v>111.78564957603251</v>
          </cell>
          <cell r="F38">
            <v>278.34568363624834</v>
          </cell>
          <cell r="G38">
            <v>20.162298749446528</v>
          </cell>
          <cell r="H38">
            <v>0.71004105144133867</v>
          </cell>
          <cell r="I38">
            <v>11.693357316908633</v>
          </cell>
          <cell r="J38">
            <v>95.351891598799739</v>
          </cell>
          <cell r="K38">
            <v>88.48814421667393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14.019321834905625</v>
          </cell>
          <cell r="F39">
            <v>80.865473794403812</v>
          </cell>
          <cell r="G39">
            <v>62.049723905449653</v>
          </cell>
          <cell r="H39">
            <v>168.20159628976702</v>
          </cell>
          <cell r="I39">
            <v>0</v>
          </cell>
          <cell r="J39">
            <v>22.430293946454828</v>
          </cell>
          <cell r="K39">
            <v>0.41631133340467491</v>
          </cell>
        </row>
        <row r="41">
          <cell r="B41">
            <v>171.56287162292622</v>
          </cell>
          <cell r="C41">
            <v>433.59423763013592</v>
          </cell>
          <cell r="D41">
            <v>125.18441293572185</v>
          </cell>
          <cell r="E41">
            <v>287.13219205396859</v>
          </cell>
          <cell r="F41">
            <v>139.05168866506054</v>
          </cell>
          <cell r="G41">
            <v>119.32307022919323</v>
          </cell>
          <cell r="H41">
            <v>85.299870474653005</v>
          </cell>
          <cell r="I41">
            <v>209.62160986209622</v>
          </cell>
          <cell r="J41">
            <v>624.39021445269407</v>
          </cell>
          <cell r="K41">
            <v>203.3087744574031</v>
          </cell>
        </row>
        <row r="42">
          <cell r="B42">
            <v>9.3330519791190252</v>
          </cell>
          <cell r="C42">
            <v>0</v>
          </cell>
          <cell r="D42">
            <v>5.419890812496532E-2</v>
          </cell>
          <cell r="E42">
            <v>55.917013512526715</v>
          </cell>
          <cell r="F42">
            <v>241.5320141680954</v>
          </cell>
          <cell r="G42">
            <v>90.289961045379698</v>
          </cell>
          <cell r="H42">
            <v>535.6848826781569</v>
          </cell>
          <cell r="I42">
            <v>1.1219173981867818</v>
          </cell>
          <cell r="J42">
            <v>69.00062993389335</v>
          </cell>
          <cell r="K42">
            <v>23.235071913172632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52.839394234338542</v>
          </cell>
          <cell r="G44">
            <v>106.15355295900966</v>
          </cell>
          <cell r="H44">
            <v>230.35751491540316</v>
          </cell>
          <cell r="I44">
            <v>0</v>
          </cell>
          <cell r="J44">
            <v>9.7065193794784346</v>
          </cell>
          <cell r="K44">
            <v>0</v>
          </cell>
        </row>
        <row r="45">
          <cell r="B45">
            <v>27.59533115408226</v>
          </cell>
          <cell r="C45">
            <v>0</v>
          </cell>
          <cell r="D45">
            <v>0.1602516327182478</v>
          </cell>
          <cell r="E45">
            <v>165.33160947541623</v>
          </cell>
          <cell r="F45">
            <v>714.14537604559951</v>
          </cell>
          <cell r="G45">
            <v>266.96319494532895</v>
          </cell>
          <cell r="H45">
            <v>1583.8765030787708</v>
          </cell>
          <cell r="I45">
            <v>3.3172087972677282</v>
          </cell>
          <cell r="J45">
            <v>204.01635361360127</v>
          </cell>
          <cell r="K45">
            <v>68.699874946312818</v>
          </cell>
        </row>
        <row r="46">
          <cell r="G46">
            <v>0</v>
          </cell>
        </row>
      </sheetData>
      <sheetData sheetId="9">
        <row r="13">
          <cell r="H13">
            <v>744</v>
          </cell>
          <cell r="I13">
            <v>8.493150684931508E-2</v>
          </cell>
        </row>
        <row r="21">
          <cell r="B21">
            <v>37.834994337365593</v>
          </cell>
          <cell r="C21">
            <v>181.45546562836012</v>
          </cell>
          <cell r="D21">
            <v>13.662043533333334</v>
          </cell>
          <cell r="E21">
            <v>101.46711430604836</v>
          </cell>
          <cell r="F21">
            <v>251.78670427688172</v>
          </cell>
          <cell r="G21">
            <v>111.7891931747312</v>
          </cell>
          <cell r="H21">
            <v>13.861697497311829</v>
          </cell>
          <cell r="I21">
            <v>45.320793150672053</v>
          </cell>
          <cell r="J21">
            <v>347.41306013239239</v>
          </cell>
          <cell r="K21">
            <v>39.801237091263424</v>
          </cell>
        </row>
        <row r="22">
          <cell r="B22">
            <v>13.352155938440863</v>
          </cell>
          <cell r="C22">
            <v>0</v>
          </cell>
          <cell r="D22">
            <v>4.8870028225806453E-2</v>
          </cell>
          <cell r="E22">
            <v>75.019311010752688</v>
          </cell>
          <cell r="F22">
            <v>175.03723613709676</v>
          </cell>
          <cell r="G22">
            <v>134.54358647983875</v>
          </cell>
          <cell r="H22">
            <v>602.79133195833344</v>
          </cell>
          <cell r="I22">
            <v>0.92212187365591403</v>
          </cell>
          <cell r="J22">
            <v>76.017751731182798</v>
          </cell>
          <cell r="K22">
            <v>23.520570959946234</v>
          </cell>
        </row>
        <row r="24">
          <cell r="B24">
            <v>28.149235787000002</v>
          </cell>
          <cell r="C24">
            <v>135.00286642749992</v>
          </cell>
          <cell r="D24">
            <v>10.1645603888</v>
          </cell>
          <cell r="E24">
            <v>75.491533043699974</v>
          </cell>
          <cell r="F24">
            <v>187.32930798199999</v>
          </cell>
          <cell r="G24">
            <v>83.171159722000013</v>
          </cell>
          <cell r="H24">
            <v>10.313102938</v>
          </cell>
          <cell r="I24">
            <v>33.718670104100006</v>
          </cell>
          <cell r="J24">
            <v>258.47531673849994</v>
          </cell>
          <cell r="K24">
            <v>29.612120395899986</v>
          </cell>
        </row>
        <row r="25">
          <cell r="B25">
            <v>9.9340040182000013</v>
          </cell>
          <cell r="C25">
            <v>0</v>
          </cell>
          <cell r="D25">
            <v>3.6359301000000004E-2</v>
          </cell>
          <cell r="E25">
            <v>55.814367392000001</v>
          </cell>
          <cell r="F25">
            <v>130.22770368599998</v>
          </cell>
          <cell r="G25">
            <v>100.10042834100003</v>
          </cell>
          <cell r="H25">
            <v>448.47675097700005</v>
          </cell>
          <cell r="I25">
            <v>0.68605867399999998</v>
          </cell>
          <cell r="J25">
            <v>56.557207288000001</v>
          </cell>
          <cell r="K25">
            <v>17.499304794199997</v>
          </cell>
        </row>
        <row r="27">
          <cell r="B27">
            <v>1.9742603098924549</v>
          </cell>
          <cell r="C27">
            <v>3.989194777130868</v>
          </cell>
          <cell r="D27">
            <v>3.0372393258599311</v>
          </cell>
          <cell r="E27">
            <v>2.5771749430282442</v>
          </cell>
          <cell r="F27">
            <v>1.9441511808666909</v>
          </cell>
          <cell r="G27">
            <v>0.35649725444508995</v>
          </cell>
          <cell r="H27">
            <v>0.36374235951048017</v>
          </cell>
          <cell r="I27">
            <v>0.99028968538849693</v>
          </cell>
          <cell r="J27">
            <v>0.24868614011254875</v>
          </cell>
          <cell r="K27">
            <v>4.9747137779623136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0.47751991258769799</v>
          </cell>
          <cell r="F28">
            <v>1.3443029080366604</v>
          </cell>
          <cell r="G28">
            <v>0.84948354676216575</v>
          </cell>
          <cell r="H28">
            <v>0.49859146715213443</v>
          </cell>
          <cell r="I28">
            <v>0</v>
          </cell>
          <cell r="J28">
            <v>1.052621449306377</v>
          </cell>
          <cell r="K28">
            <v>0.17104252581678725</v>
          </cell>
        </row>
        <row r="30">
          <cell r="B30">
            <v>0.73898362413383123</v>
          </cell>
        </row>
        <row r="31">
          <cell r="B31">
            <v>0.48484723437004168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1.0138094870726022</v>
          </cell>
          <cell r="G33">
            <v>1.3021823975054139</v>
          </cell>
          <cell r="H33">
            <v>0.61719146381417667</v>
          </cell>
          <cell r="I33">
            <v>0</v>
          </cell>
          <cell r="J33">
            <v>0.90908427780374357</v>
          </cell>
          <cell r="K33">
            <v>0</v>
          </cell>
        </row>
        <row r="34">
          <cell r="I34">
            <v>1.6374021290485321</v>
          </cell>
        </row>
        <row r="38">
          <cell r="B38">
            <v>59.775925963775151</v>
          </cell>
          <cell r="C38">
            <v>484.73211969678073</v>
          </cell>
          <cell r="D38">
            <v>13.242160887409131</v>
          </cell>
          <cell r="E38">
            <v>178.99988081319938</v>
          </cell>
          <cell r="F38">
            <v>315.24663622354205</v>
          </cell>
          <cell r="G38">
            <v>29.669964982972868</v>
          </cell>
          <cell r="H38">
            <v>3.7570510100228267</v>
          </cell>
          <cell r="I38">
            <v>36.529588594086867</v>
          </cell>
          <cell r="J38">
            <v>63.793897458016637</v>
          </cell>
          <cell r="K38">
            <v>142.54917754009273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25.792585374370688</v>
          </cell>
          <cell r="F39">
            <v>176.28656122172956</v>
          </cell>
          <cell r="G39">
            <v>84.178828328118996</v>
          </cell>
          <cell r="H39">
            <v>222.01018710543192</v>
          </cell>
          <cell r="I39">
            <v>0</v>
          </cell>
          <cell r="J39">
            <v>58.852227596887325</v>
          </cell>
          <cell r="K39">
            <v>2.4209945057968141</v>
          </cell>
        </row>
        <row r="41">
          <cell r="B41">
            <v>157.25172470410897</v>
          </cell>
          <cell r="C41">
            <v>397.42539305917438</v>
          </cell>
          <cell r="D41">
            <v>114.74198731925995</v>
          </cell>
          <cell r="E41">
            <v>259.80425917046369</v>
          </cell>
          <cell r="F41">
            <v>153.2873731540806</v>
          </cell>
          <cell r="G41">
            <v>110.10855999594084</v>
          </cell>
          <cell r="H41">
            <v>78.18446743335933</v>
          </cell>
          <cell r="I41">
            <v>192.13574227479614</v>
          </cell>
          <cell r="J41">
            <v>572.30586771044568</v>
          </cell>
          <cell r="K41">
            <v>186.34950049782822</v>
          </cell>
        </row>
        <row r="42">
          <cell r="B42">
            <v>9.4448241255284149</v>
          </cell>
          <cell r="C42">
            <v>0</v>
          </cell>
          <cell r="D42">
            <v>2.9090834062202506E-2</v>
          </cell>
          <cell r="E42">
            <v>59.568331214703328</v>
          </cell>
          <cell r="F42">
            <v>245.77391157451785</v>
          </cell>
          <cell r="G42">
            <v>80.295550484022641</v>
          </cell>
          <cell r="H42">
            <v>480.29756610417502</v>
          </cell>
          <cell r="I42">
            <v>0.63999834936845523</v>
          </cell>
          <cell r="J42">
            <v>54.467738309130482</v>
          </cell>
          <cell r="K42">
            <v>21.323581367594439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133.42405468651199</v>
          </cell>
          <cell r="G44">
            <v>128.2391949804593</v>
          </cell>
          <cell r="H44">
            <v>273.85990200614492</v>
          </cell>
          <cell r="I44">
            <v>0</v>
          </cell>
          <cell r="J44">
            <v>50.969363873765268</v>
          </cell>
          <cell r="K44">
            <v>0</v>
          </cell>
        </row>
        <row r="45">
          <cell r="B45">
            <v>31.896593473865412</v>
          </cell>
          <cell r="C45">
            <v>0</v>
          </cell>
          <cell r="D45">
            <v>9.8244127742911913E-2</v>
          </cell>
          <cell r="E45">
            <v>201.17122557490268</v>
          </cell>
          <cell r="F45">
            <v>830.01551323599131</v>
          </cell>
          <cell r="G45">
            <v>271.17016659172742</v>
          </cell>
          <cell r="H45">
            <v>1622.0372141291475</v>
          </cell>
          <cell r="I45">
            <v>2.1613708103440628</v>
          </cell>
          <cell r="J45">
            <v>183.94575517731209</v>
          </cell>
          <cell r="K45">
            <v>72.012945635554459</v>
          </cell>
        </row>
        <row r="46">
          <cell r="G46">
            <v>0</v>
          </cell>
        </row>
      </sheetData>
      <sheetData sheetId="10">
        <row r="13">
          <cell r="H13">
            <v>720</v>
          </cell>
          <cell r="I13">
            <v>8.2191780821917804E-2</v>
          </cell>
        </row>
        <row r="21">
          <cell r="B21">
            <v>76.64398018541668</v>
          </cell>
          <cell r="C21">
            <v>178.15790370097218</v>
          </cell>
          <cell r="D21">
            <v>52.288226790000003</v>
          </cell>
          <cell r="E21">
            <v>134.57647925319449</v>
          </cell>
          <cell r="F21">
            <v>148.25379845902785</v>
          </cell>
          <cell r="G21">
            <v>40.543521138888892</v>
          </cell>
          <cell r="H21">
            <v>17.030913511111113</v>
          </cell>
          <cell r="I21">
            <v>81.226883749027763</v>
          </cell>
          <cell r="J21">
            <v>336.16388418861112</v>
          </cell>
          <cell r="K21">
            <v>175.19724978194452</v>
          </cell>
        </row>
        <row r="22">
          <cell r="B22">
            <v>20.681360485694448</v>
          </cell>
          <cell r="C22">
            <v>0</v>
          </cell>
          <cell r="D22">
            <v>4.8532167638888887E-2</v>
          </cell>
          <cell r="E22">
            <v>66.786226290277781</v>
          </cell>
          <cell r="F22">
            <v>182.7884644444444</v>
          </cell>
          <cell r="G22">
            <v>137.37885055736115</v>
          </cell>
          <cell r="H22">
            <v>616.26293886111102</v>
          </cell>
          <cell r="I22">
            <v>0.90947056944444427</v>
          </cell>
          <cell r="J22">
            <v>76.630783063888884</v>
          </cell>
          <cell r="K22">
            <v>28.501626524583347</v>
          </cell>
        </row>
        <row r="24">
          <cell r="B24">
            <v>55.183665733500007</v>
          </cell>
          <cell r="C24">
            <v>128.27369066469998</v>
          </cell>
          <cell r="D24">
            <v>37.647523288800002</v>
          </cell>
          <cell r="E24">
            <v>96.89506506230002</v>
          </cell>
          <cell r="F24">
            <v>106.74273489050006</v>
          </cell>
          <cell r="G24">
            <v>29.191335220000006</v>
          </cell>
          <cell r="H24">
            <v>12.262257728</v>
          </cell>
          <cell r="I24">
            <v>58.483356299299984</v>
          </cell>
          <cell r="J24">
            <v>242.03799661579998</v>
          </cell>
          <cell r="K24">
            <v>126.14201984300006</v>
          </cell>
        </row>
        <row r="25">
          <cell r="B25">
            <v>14.890579549700002</v>
          </cell>
          <cell r="C25">
            <v>0</v>
          </cell>
          <cell r="D25">
            <v>3.4943160700000003E-2</v>
          </cell>
          <cell r="E25">
            <v>48.086082929000007</v>
          </cell>
          <cell r="F25">
            <v>131.60769439999999</v>
          </cell>
          <cell r="G25">
            <v>98.912772401300032</v>
          </cell>
          <cell r="H25">
            <v>443.70931597999993</v>
          </cell>
          <cell r="I25">
            <v>0.65481880999999986</v>
          </cell>
          <cell r="J25">
            <v>55.174163805999996</v>
          </cell>
          <cell r="K25">
            <v>20.521171097700012</v>
          </cell>
        </row>
        <row r="27">
          <cell r="B27">
            <v>1.4447423476475398</v>
          </cell>
          <cell r="C27">
            <v>2.6455558404265433</v>
          </cell>
          <cell r="D27">
            <v>1.0429793884765297</v>
          </cell>
          <cell r="E27">
            <v>1.7567636444924293</v>
          </cell>
          <cell r="F27">
            <v>1.7616561113463667</v>
          </cell>
          <cell r="G27">
            <v>0.35282249432601337</v>
          </cell>
          <cell r="H27">
            <v>0.16153863509821895</v>
          </cell>
          <cell r="I27">
            <v>0.77953252051569311</v>
          </cell>
          <cell r="J27">
            <v>0.21425192792552797</v>
          </cell>
          <cell r="K27">
            <v>3.1964895997134324</v>
          </cell>
        </row>
        <row r="28">
          <cell r="B28">
            <v>0.13854758874509349</v>
          </cell>
          <cell r="C28">
            <v>0</v>
          </cell>
          <cell r="D28">
            <v>0</v>
          </cell>
          <cell r="E28">
            <v>0.35375223518730087</v>
          </cell>
          <cell r="F28">
            <v>1.0272076524782798</v>
          </cell>
          <cell r="G28">
            <v>1.052129526723464</v>
          </cell>
          <cell r="H28">
            <v>0.49696758132787061</v>
          </cell>
          <cell r="I28">
            <v>0</v>
          </cell>
          <cell r="J28">
            <v>1.5755514260490369</v>
          </cell>
          <cell r="K28">
            <v>0.17458254767113845</v>
          </cell>
        </row>
        <row r="30">
          <cell r="B30">
            <v>0.74043336237021851</v>
          </cell>
        </row>
        <row r="31">
          <cell r="B31">
            <v>0.4736905480654256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0.75562097644863702</v>
          </cell>
          <cell r="G33">
            <v>1.5430743206632229</v>
          </cell>
          <cell r="H33">
            <v>0.61078375913453276</v>
          </cell>
          <cell r="I33">
            <v>0</v>
          </cell>
          <cell r="J33">
            <v>0.9689914973657211</v>
          </cell>
          <cell r="K33">
            <v>0</v>
          </cell>
        </row>
        <row r="34">
          <cell r="I34">
            <v>1.59096486087412</v>
          </cell>
        </row>
        <row r="38">
          <cell r="B38">
            <v>92.106496609465921</v>
          </cell>
          <cell r="C38">
            <v>330.19534608458684</v>
          </cell>
          <cell r="D38">
            <v>37.622242389340393</v>
          </cell>
          <cell r="E38">
            <v>157.31590850981252</v>
          </cell>
          <cell r="F38">
            <v>161.04215369016006</v>
          </cell>
          <cell r="G38">
            <v>9.5034082457361855</v>
          </cell>
          <cell r="H38">
            <v>4.9226144348370138</v>
          </cell>
          <cell r="I38">
            <v>48.458584248421559</v>
          </cell>
          <cell r="J38">
            <v>50.628067487113647</v>
          </cell>
          <cell r="K38">
            <v>374.25719041650069</v>
          </cell>
        </row>
        <row r="39">
          <cell r="B39">
            <v>3.018990789511387</v>
          </cell>
          <cell r="C39">
            <v>0</v>
          </cell>
          <cell r="D39">
            <v>0</v>
          </cell>
          <cell r="E39">
            <v>16.421567829937501</v>
          </cell>
          <cell r="F39">
            <v>133.24858945034634</v>
          </cell>
          <cell r="G39">
            <v>101.30817362959851</v>
          </cell>
          <cell r="H39">
            <v>219.08324334882892</v>
          </cell>
          <cell r="I39">
            <v>0</v>
          </cell>
          <cell r="J39">
            <v>70.420248167555997</v>
          </cell>
          <cell r="K39">
            <v>1.9533958192522374</v>
          </cell>
        </row>
        <row r="41">
          <cell r="B41">
            <v>157.56022117222565</v>
          </cell>
          <cell r="C41">
            <v>398.20506228270335</v>
          </cell>
          <cell r="D41">
            <v>114.96708817522378</v>
          </cell>
          <cell r="E41">
            <v>261.34992944741657</v>
          </cell>
          <cell r="F41">
            <v>95.925549984356223</v>
          </cell>
          <cell r="G41">
            <v>110.32457099316252</v>
          </cell>
          <cell r="H41">
            <v>78.337849738769094</v>
          </cell>
          <cell r="I41">
            <v>192.51267421625684</v>
          </cell>
          <cell r="J41">
            <v>573.42861748761561</v>
          </cell>
          <cell r="K41">
            <v>186.71508098889799</v>
          </cell>
        </row>
        <row r="42">
          <cell r="B42">
            <v>8.0148440732669997</v>
          </cell>
          <cell r="C42">
            <v>0</v>
          </cell>
          <cell r="D42">
            <v>4.7369054806542549E-2</v>
          </cell>
          <cell r="E42">
            <v>57.600770644755755</v>
          </cell>
          <cell r="F42">
            <v>221.18980141915048</v>
          </cell>
          <cell r="G42">
            <v>82.758475652510498</v>
          </cell>
          <cell r="H42">
            <v>480.59653798746552</v>
          </cell>
          <cell r="I42">
            <v>0.63474533440767034</v>
          </cell>
          <cell r="J42">
            <v>55.014420252318523</v>
          </cell>
          <cell r="K42">
            <v>20.993965090259664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98.061215570441163</v>
          </cell>
          <cell r="G44">
            <v>147.77088678821502</v>
          </cell>
          <cell r="H44">
            <v>268.36677032658997</v>
          </cell>
          <cell r="I44">
            <v>0</v>
          </cell>
          <cell r="J44">
            <v>51.213818720192435</v>
          </cell>
          <cell r="K44">
            <v>0</v>
          </cell>
        </row>
        <row r="45">
          <cell r="B45">
            <v>26.919125445990108</v>
          </cell>
          <cell r="C45">
            <v>0</v>
          </cell>
          <cell r="D45">
            <v>0.159096486087412</v>
          </cell>
          <cell r="E45">
            <v>193.46132708229294</v>
          </cell>
          <cell r="F45">
            <v>742.90104178517038</v>
          </cell>
          <cell r="G45">
            <v>277.95747084331748</v>
          </cell>
          <cell r="H45">
            <v>1614.1597237236924</v>
          </cell>
          <cell r="I45">
            <v>2.1318929135713209</v>
          </cell>
          <cell r="J45">
            <v>184.77465894192034</v>
          </cell>
          <cell r="K45">
            <v>70.511562633940997</v>
          </cell>
        </row>
        <row r="46">
          <cell r="G46">
            <v>0</v>
          </cell>
        </row>
      </sheetData>
      <sheetData sheetId="11">
        <row r="13">
          <cell r="H13">
            <v>744</v>
          </cell>
          <cell r="I13">
            <v>8.4931506849315067E-2</v>
          </cell>
        </row>
        <row r="21">
          <cell r="B21">
            <v>166.50013092607517</v>
          </cell>
          <cell r="C21">
            <v>379.33702465779584</v>
          </cell>
          <cell r="D21">
            <v>103.69406875389787</v>
          </cell>
          <cell r="E21">
            <v>248.92872483413976</v>
          </cell>
          <cell r="F21">
            <v>76.25105377177421</v>
          </cell>
          <cell r="G21">
            <v>0.67780744758064537</v>
          </cell>
          <cell r="H21">
            <v>2.7604921982526878</v>
          </cell>
          <cell r="I21">
            <v>69.926484948790346</v>
          </cell>
          <cell r="J21">
            <v>101.3582619751344</v>
          </cell>
          <cell r="K21">
            <v>180.27729025134394</v>
          </cell>
        </row>
        <row r="22">
          <cell r="B22">
            <v>67.331228157661272</v>
          </cell>
          <cell r="C22">
            <v>0</v>
          </cell>
          <cell r="D22">
            <v>4.5386291666666675E-2</v>
          </cell>
          <cell r="E22">
            <v>53.432974927553779</v>
          </cell>
          <cell r="F22">
            <v>166.98184326478489</v>
          </cell>
          <cell r="G22">
            <v>138.38921587634408</v>
          </cell>
          <cell r="H22">
            <v>626.24951306451624</v>
          </cell>
          <cell r="I22">
            <v>0.87891778763440886</v>
          </cell>
          <cell r="J22">
            <v>76.604136478225826</v>
          </cell>
          <cell r="K22">
            <v>36.335292839516121</v>
          </cell>
        </row>
        <row r="24">
          <cell r="B24">
            <v>123.87609740899993</v>
          </cell>
          <cell r="C24">
            <v>282.2267463454001</v>
          </cell>
          <cell r="D24">
            <v>77.148387152900014</v>
          </cell>
          <cell r="E24">
            <v>185.20297127659998</v>
          </cell>
          <cell r="F24">
            <v>56.730784006200011</v>
          </cell>
          <cell r="G24">
            <v>0.5042887410000001</v>
          </cell>
          <cell r="H24">
            <v>2.0538061955</v>
          </cell>
          <cell r="I24">
            <v>52.025304801900013</v>
          </cell>
          <cell r="J24">
            <v>75.410546909499985</v>
          </cell>
          <cell r="K24">
            <v>134.12630394699988</v>
          </cell>
        </row>
        <row r="25">
          <cell r="B25">
            <v>50.094433749299988</v>
          </cell>
          <cell r="C25">
            <v>0</v>
          </cell>
          <cell r="D25">
            <v>3.3767401000000009E-2</v>
          </cell>
          <cell r="E25">
            <v>39.754133346100012</v>
          </cell>
          <cell r="F25">
            <v>124.23449138899994</v>
          </cell>
          <cell r="G25">
            <v>102.96157661199999</v>
          </cell>
          <cell r="H25">
            <v>465.92963772000007</v>
          </cell>
          <cell r="I25">
            <v>0.65391483400000017</v>
          </cell>
          <cell r="J25">
            <v>56.993477539800011</v>
          </cell>
          <cell r="K25">
            <v>27.033457872599993</v>
          </cell>
        </row>
        <row r="27">
          <cell r="B27">
            <v>1.4142448099123344</v>
          </cell>
          <cell r="C27">
            <v>2.5812323881285524</v>
          </cell>
          <cell r="D27">
            <v>2.247530557191193</v>
          </cell>
          <cell r="E27">
            <v>2.0015257904384072</v>
          </cell>
          <cell r="F27">
            <v>0.38658984185591716</v>
          </cell>
          <cell r="G27">
            <v>0.33548805786165475</v>
          </cell>
          <cell r="H27">
            <v>3.6870769143495033E-2</v>
          </cell>
          <cell r="I27">
            <v>0.22503263671653831</v>
          </cell>
          <cell r="J27">
            <v>0.30519122098764029</v>
          </cell>
          <cell r="K27">
            <v>2.7776179978373077</v>
          </cell>
        </row>
        <row r="28">
          <cell r="B28">
            <v>5.7185901845378355E-3</v>
          </cell>
          <cell r="C28">
            <v>0</v>
          </cell>
          <cell r="D28">
            <v>0</v>
          </cell>
          <cell r="E28">
            <v>0.35182211278068432</v>
          </cell>
          <cell r="F28">
            <v>0.82528722222089912</v>
          </cell>
          <cell r="G28">
            <v>1.2130246344631563</v>
          </cell>
          <cell r="H28">
            <v>1.057362903484578</v>
          </cell>
          <cell r="I28">
            <v>0</v>
          </cell>
          <cell r="J28">
            <v>1.6635901516998306</v>
          </cell>
          <cell r="K28">
            <v>5.9052633013106287E-2</v>
          </cell>
        </row>
        <row r="30">
          <cell r="B30">
            <v>0.55902900950760848</v>
          </cell>
        </row>
        <row r="31">
          <cell r="B31">
            <v>0.38144209242309707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0.63051719381525639</v>
          </cell>
          <cell r="G33">
            <v>1.595579492364908</v>
          </cell>
          <cell r="H33">
            <v>1.28588620855642</v>
          </cell>
          <cell r="I33">
            <v>0</v>
          </cell>
          <cell r="J33">
            <v>1.8772961905191852</v>
          </cell>
          <cell r="K33">
            <v>0</v>
          </cell>
        </row>
        <row r="34">
          <cell r="I34">
            <v>1.5552688425194383</v>
          </cell>
        </row>
        <row r="38">
          <cell r="B38">
            <v>183.24342189763752</v>
          </cell>
          <cell r="C38">
            <v>706.11902236910248</v>
          </cell>
          <cell r="D38">
            <v>172.13039457768144</v>
          </cell>
          <cell r="E38">
            <v>368.88243126210637</v>
          </cell>
          <cell r="F38">
            <v>47.353119450344295</v>
          </cell>
          <cell r="G38">
            <v>0.15780931877638316</v>
          </cell>
          <cell r="H38">
            <v>0.48778968043481979</v>
          </cell>
          <cell r="I38">
            <v>46.734043825294904</v>
          </cell>
          <cell r="J38">
            <v>21.957463040295053</v>
          </cell>
          <cell r="K38">
            <v>362.34384439268558</v>
          </cell>
        </row>
        <row r="39">
          <cell r="B39">
            <v>0.24443113427564184</v>
          </cell>
          <cell r="C39">
            <v>0</v>
          </cell>
          <cell r="D39">
            <v>0</v>
          </cell>
          <cell r="E39">
            <v>13.676810849845026</v>
          </cell>
          <cell r="F39">
            <v>102.45442659849547</v>
          </cell>
          <cell r="G39">
            <v>123.45171472417218</v>
          </cell>
          <cell r="H39">
            <v>483.25333277216794</v>
          </cell>
          <cell r="I39">
            <v>0</v>
          </cell>
          <cell r="J39">
            <v>93.580652530812031</v>
          </cell>
          <cell r="K39">
            <v>1.6569198820997377</v>
          </cell>
        </row>
        <row r="41">
          <cell r="B41">
            <v>118.95835446656773</v>
          </cell>
          <cell r="C41">
            <v>300.64580131319184</v>
          </cell>
          <cell r="D41">
            <v>86.800434306246359</v>
          </cell>
          <cell r="E41">
            <v>186.27964654812527</v>
          </cell>
          <cell r="F41">
            <v>106.22425054792224</v>
          </cell>
          <cell r="G41">
            <v>82.177264397618444</v>
          </cell>
          <cell r="H41">
            <v>59.145269205904988</v>
          </cell>
          <cell r="I41">
            <v>145.34754247197819</v>
          </cell>
          <cell r="J41">
            <v>413.9330300899087</v>
          </cell>
          <cell r="K41">
            <v>140.97034532753364</v>
          </cell>
        </row>
        <row r="42">
          <cell r="B42">
            <v>6.2213205274207111</v>
          </cell>
          <cell r="C42">
            <v>0</v>
          </cell>
          <cell r="D42">
            <v>3.432978831807873E-2</v>
          </cell>
          <cell r="E42">
            <v>42.782545086174558</v>
          </cell>
          <cell r="F42">
            <v>137.44884358373875</v>
          </cell>
          <cell r="G42">
            <v>69.887820173759849</v>
          </cell>
          <cell r="H42">
            <v>383.97593442887671</v>
          </cell>
          <cell r="I42">
            <v>0.91546102181543287</v>
          </cell>
          <cell r="J42">
            <v>44.792744913244285</v>
          </cell>
          <cell r="K42">
            <v>17.004688480221667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78.571286099549226</v>
          </cell>
          <cell r="G44">
            <v>163.02228229640923</v>
          </cell>
          <cell r="H44">
            <v>587.457020392559</v>
          </cell>
          <cell r="I44">
            <v>0</v>
          </cell>
          <cell r="J44">
            <v>105.32173451671568</v>
          </cell>
          <cell r="K44">
            <v>0</v>
          </cell>
        </row>
        <row r="45">
          <cell r="B45">
            <v>25.366434821492032</v>
          </cell>
          <cell r="C45">
            <v>0</v>
          </cell>
          <cell r="D45">
            <v>0.13997419582674939</v>
          </cell>
          <cell r="E45">
            <v>174.43895337698018</v>
          </cell>
          <cell r="F45">
            <v>560.42557471345424</v>
          </cell>
          <cell r="G45">
            <v>284.95635732641148</v>
          </cell>
          <cell r="H45">
            <v>1565.6001761654504</v>
          </cell>
          <cell r="I45">
            <v>3.7326452220466511</v>
          </cell>
          <cell r="J45">
            <v>182.63522017705759</v>
          </cell>
          <cell r="K45">
            <v>69.333884999516556</v>
          </cell>
        </row>
        <row r="46">
          <cell r="G46">
            <v>0</v>
          </cell>
        </row>
      </sheetData>
      <sheetData sheetId="12">
        <row r="13">
          <cell r="H13">
            <v>720</v>
          </cell>
          <cell r="I13">
            <v>8.2191780821917804E-2</v>
          </cell>
        </row>
        <row r="21">
          <cell r="B21">
            <v>195.5339571548613</v>
          </cell>
          <cell r="C21">
            <v>335.08424498291663</v>
          </cell>
          <cell r="D21">
            <v>125.77755608222219</v>
          </cell>
          <cell r="E21">
            <v>287.12775409499994</v>
          </cell>
          <cell r="F21">
            <v>75.501884454722216</v>
          </cell>
          <cell r="G21">
            <v>3.0344419444444441E-2</v>
          </cell>
          <cell r="H21">
            <v>4.6312563013888894</v>
          </cell>
          <cell r="I21">
            <v>49.87875850694445</v>
          </cell>
          <cell r="J21">
            <v>8.3251878783333328</v>
          </cell>
          <cell r="K21">
            <v>204.75816328888888</v>
          </cell>
        </row>
        <row r="22">
          <cell r="B22">
            <v>59.507125159722236</v>
          </cell>
          <cell r="C22">
            <v>0</v>
          </cell>
          <cell r="D22">
            <v>6.7679737500000003E-2</v>
          </cell>
          <cell r="E22">
            <v>48.018278209722233</v>
          </cell>
          <cell r="F22">
            <v>155.11939062638882</v>
          </cell>
          <cell r="G22">
            <v>132.0691067638889</v>
          </cell>
          <cell r="H22">
            <v>613.13966586805532</v>
          </cell>
          <cell r="I22">
            <v>0.86375179444444417</v>
          </cell>
          <cell r="J22">
            <v>70.357086390277786</v>
          </cell>
          <cell r="K22">
            <v>26.034557481388905</v>
          </cell>
        </row>
        <row r="24">
          <cell r="B24">
            <v>140.78444915150013</v>
          </cell>
          <cell r="C24">
            <v>241.26065638769998</v>
          </cell>
          <cell r="D24">
            <v>90.559840379199969</v>
          </cell>
          <cell r="E24">
            <v>206.73198294839997</v>
          </cell>
          <cell r="F24">
            <v>54.361356807399993</v>
          </cell>
          <cell r="G24">
            <v>2.1847981999999998E-2</v>
          </cell>
          <cell r="H24">
            <v>3.3345045370000008</v>
          </cell>
          <cell r="I24">
            <v>35.912706125000007</v>
          </cell>
          <cell r="J24">
            <v>5.9941352723999994</v>
          </cell>
          <cell r="K24">
            <v>147.425877568</v>
          </cell>
        </row>
        <row r="25">
          <cell r="B25">
            <v>42.845130115000011</v>
          </cell>
          <cell r="C25">
            <v>0</v>
          </cell>
          <cell r="D25">
            <v>4.8729411E-2</v>
          </cell>
          <cell r="E25">
            <v>34.573160311000009</v>
          </cell>
          <cell r="F25">
            <v>111.68596125099995</v>
          </cell>
          <cell r="G25">
            <v>95.089756870000002</v>
          </cell>
          <cell r="H25">
            <v>441.46055942499987</v>
          </cell>
          <cell r="I25">
            <v>0.62190129199999977</v>
          </cell>
          <cell r="J25">
            <v>50.657102201000001</v>
          </cell>
          <cell r="K25">
            <v>18.744881386600014</v>
          </cell>
        </row>
        <row r="27">
          <cell r="B27">
            <v>2.0577843385322887</v>
          </cell>
          <cell r="C27">
            <v>2.564071758353069</v>
          </cell>
          <cell r="D27">
            <v>2.5572727769815535</v>
          </cell>
          <cell r="E27">
            <v>1.9927792928249655</v>
          </cell>
          <cell r="F27">
            <v>0.59703205658189062</v>
          </cell>
          <cell r="G27">
            <v>0.34235641306821762</v>
          </cell>
          <cell r="H27">
            <v>0</v>
          </cell>
          <cell r="I27">
            <v>1.5132365772493643</v>
          </cell>
          <cell r="J27">
            <v>0</v>
          </cell>
          <cell r="K27">
            <v>3.3418239397561522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0.33328308675558305</v>
          </cell>
          <cell r="F28">
            <v>0.8212905630479278</v>
          </cell>
          <cell r="G28">
            <v>1.2545153333743337</v>
          </cell>
          <cell r="H28">
            <v>1.3839472986318873</v>
          </cell>
          <cell r="I28">
            <v>0</v>
          </cell>
          <cell r="J28">
            <v>1.8644787922112778</v>
          </cell>
          <cell r="K28">
            <v>4.755754793467909E-2</v>
          </cell>
        </row>
        <row r="30">
          <cell r="B30">
            <v>0.45456282046398766</v>
          </cell>
        </row>
        <row r="31">
          <cell r="B31">
            <v>0.31856491676218657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0.61575675414250752</v>
          </cell>
          <cell r="G33">
            <v>1.6044303894079723</v>
          </cell>
          <cell r="H33">
            <v>1.6636500309555584</v>
          </cell>
          <cell r="I33">
            <v>0</v>
          </cell>
          <cell r="J33">
            <v>2.305595736343705</v>
          </cell>
          <cell r="K33">
            <v>0</v>
          </cell>
        </row>
        <row r="34">
          <cell r="I34">
            <v>1.4688929182687605</v>
          </cell>
        </row>
        <row r="38">
          <cell r="B38">
            <v>284.20400119263417</v>
          </cell>
          <cell r="C38">
            <v>597.73210944831465</v>
          </cell>
          <cell r="D38">
            <v>231.37565506542936</v>
          </cell>
          <cell r="E38">
            <v>398.17928220564528</v>
          </cell>
          <cell r="F38">
            <v>45.309022227328995</v>
          </cell>
          <cell r="G38">
            <v>6.7678696539843382E-3</v>
          </cell>
          <cell r="H38">
            <v>0</v>
          </cell>
          <cell r="I38">
            <v>51.460260398565786</v>
          </cell>
          <cell r="J38">
            <v>0</v>
          </cell>
          <cell r="K38">
            <v>480.93323484360724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11.417980750267283</v>
          </cell>
          <cell r="F39">
            <v>89.275673733699321</v>
          </cell>
          <cell r="G39">
            <v>118.1093408661511</v>
          </cell>
          <cell r="H39">
            <v>588.21013785248681</v>
          </cell>
          <cell r="I39">
            <v>0</v>
          </cell>
          <cell r="J39">
            <v>91.778468727829875</v>
          </cell>
          <cell r="K39">
            <v>1.0689092954653407</v>
          </cell>
        </row>
        <row r="41">
          <cell r="B41">
            <v>96.728513555506041</v>
          </cell>
          <cell r="C41">
            <v>244.4638848455325</v>
          </cell>
          <cell r="D41">
            <v>70.579969133443342</v>
          </cell>
          <cell r="E41">
            <v>151.46942303500995</v>
          </cell>
          <cell r="F41">
            <v>98.628571599035297</v>
          </cell>
          <cell r="G41">
            <v>66.82073460820618</v>
          </cell>
          <cell r="H41">
            <v>48.092746405089876</v>
          </cell>
          <cell r="I41">
            <v>118.18633332063676</v>
          </cell>
          <cell r="J41">
            <v>336.58104041255962</v>
          </cell>
          <cell r="K41">
            <v>114.62710643640374</v>
          </cell>
        </row>
        <row r="42">
          <cell r="B42">
            <v>4.7466172597565786</v>
          </cell>
          <cell r="C42">
            <v>0</v>
          </cell>
          <cell r="D42">
            <v>2.8670842508596781E-2</v>
          </cell>
          <cell r="E42">
            <v>33.060667061579714</v>
          </cell>
          <cell r="F42">
            <v>122.26840070249477</v>
          </cell>
          <cell r="G42">
            <v>52.913632674199178</v>
          </cell>
          <cell r="H42">
            <v>309.42468944254108</v>
          </cell>
          <cell r="I42">
            <v>0.43643393596419561</v>
          </cell>
          <cell r="J42">
            <v>35.449903937296114</v>
          </cell>
          <cell r="K42">
            <v>14.115611461732488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67.337697973799408</v>
          </cell>
          <cell r="G44">
            <v>151.13929251576772</v>
          </cell>
          <cell r="H44">
            <v>707.57156972292</v>
          </cell>
          <cell r="I44">
            <v>0</v>
          </cell>
          <cell r="J44">
            <v>112.8156674912518</v>
          </cell>
          <cell r="K44">
            <v>0</v>
          </cell>
        </row>
        <row r="45">
          <cell r="B45">
            <v>21.886504482204526</v>
          </cell>
          <cell r="C45">
            <v>0</v>
          </cell>
          <cell r="D45">
            <v>0.13220036264418841</v>
          </cell>
          <cell r="E45">
            <v>152.44170705793198</v>
          </cell>
          <cell r="F45">
            <v>563.77579096073282</v>
          </cell>
          <cell r="G45">
            <v>243.98311372444101</v>
          </cell>
          <cell r="H45">
            <v>1426.7476145182645</v>
          </cell>
          <cell r="I45">
            <v>2.0123832980282019</v>
          </cell>
          <cell r="J45">
            <v>163.45840394494769</v>
          </cell>
          <cell r="K45">
            <v>65.086645208488775</v>
          </cell>
        </row>
        <row r="46">
          <cell r="G46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M01"/>
      <sheetName val="M02"/>
      <sheetName val="M03"/>
      <sheetName val="M04"/>
      <sheetName val="M05"/>
      <sheetName val="M06"/>
      <sheetName val="M07"/>
      <sheetName val="M08"/>
      <sheetName val="M09"/>
      <sheetName val="M10"/>
      <sheetName val="M11"/>
      <sheetName val="M12"/>
    </sheetNames>
    <sheetDataSet>
      <sheetData sheetId="0"/>
      <sheetData sheetId="1">
        <row r="13">
          <cell r="H13">
            <v>744</v>
          </cell>
          <cell r="I13">
            <v>8.493150684931508E-2</v>
          </cell>
        </row>
        <row r="21">
          <cell r="B21">
            <v>159.81115591397847</v>
          </cell>
          <cell r="C21">
            <v>274.37620967741935</v>
          </cell>
          <cell r="D21">
            <v>145.9</v>
          </cell>
          <cell r="E21">
            <v>345.39838709677423</v>
          </cell>
          <cell r="F21">
            <v>85.264717741935485</v>
          </cell>
          <cell r="G21">
            <v>1.5354166666666667</v>
          </cell>
          <cell r="H21">
            <v>2.7643145161290326</v>
          </cell>
          <cell r="I21">
            <v>0</v>
          </cell>
          <cell r="J21">
            <v>99.248588709677435</v>
          </cell>
          <cell r="K21">
            <v>230.19576612903225</v>
          </cell>
        </row>
        <row r="22">
          <cell r="B22">
            <v>33.702083333333334</v>
          </cell>
          <cell r="C22">
            <v>0</v>
          </cell>
          <cell r="D22">
            <v>2.4932795698924731E-2</v>
          </cell>
          <cell r="E22">
            <v>59.033534946236557</v>
          </cell>
          <cell r="F22">
            <v>162.62271505376341</v>
          </cell>
          <cell r="G22">
            <v>141.67768817204302</v>
          </cell>
          <cell r="H22">
            <v>818.47452956989252</v>
          </cell>
          <cell r="I22">
            <v>0</v>
          </cell>
          <cell r="J22">
            <v>111.36202956989248</v>
          </cell>
          <cell r="K22">
            <v>17.594354838709677</v>
          </cell>
        </row>
        <row r="24">
          <cell r="B24">
            <v>118.89949999999999</v>
          </cell>
          <cell r="C24">
            <v>204.13589999999999</v>
          </cell>
          <cell r="D24">
            <v>108.54960000000001</v>
          </cell>
          <cell r="E24">
            <v>256.97640000000001</v>
          </cell>
          <cell r="F24">
            <v>63.436949999999996</v>
          </cell>
          <cell r="G24">
            <v>1.14235</v>
          </cell>
          <cell r="H24">
            <v>2.0566500000000003</v>
          </cell>
          <cell r="I24">
            <v>0</v>
          </cell>
          <cell r="J24">
            <v>73.840950000000007</v>
          </cell>
          <cell r="K24">
            <v>171.26564999999999</v>
          </cell>
        </row>
        <row r="25">
          <cell r="B25">
            <v>25.074349999999999</v>
          </cell>
          <cell r="C25">
            <v>0</v>
          </cell>
          <cell r="D25">
            <v>1.8550000000000001E-2</v>
          </cell>
          <cell r="E25">
            <v>43.920949999999998</v>
          </cell>
          <cell r="F25">
            <v>120.9913</v>
          </cell>
          <cell r="G25">
            <v>105.40819999999999</v>
          </cell>
          <cell r="H25">
            <v>608.94505000000004</v>
          </cell>
          <cell r="I25">
            <v>0</v>
          </cell>
          <cell r="J25">
            <v>82.853350000000006</v>
          </cell>
          <cell r="K25">
            <v>13.090200000000001</v>
          </cell>
        </row>
        <row r="27">
          <cell r="B27">
            <v>1.7136090627332605</v>
          </cell>
          <cell r="C27">
            <v>1.8776612945616284</v>
          </cell>
          <cell r="D27">
            <v>1.8949979774644072</v>
          </cell>
          <cell r="E27">
            <v>1.5748641834882113</v>
          </cell>
          <cell r="F27">
            <v>0.5758243958570991</v>
          </cell>
          <cell r="G27">
            <v>4.406391266180696E-2</v>
          </cell>
          <cell r="H27">
            <v>0.10723342925080835</v>
          </cell>
          <cell r="I27">
            <v>0</v>
          </cell>
          <cell r="J27">
            <v>0.27856969928638875</v>
          </cell>
          <cell r="K27">
            <v>2.6024893266719094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0.17641845909890524</v>
          </cell>
          <cell r="F28">
            <v>0.43437026534635725</v>
          </cell>
          <cell r="G28">
            <v>0.76540228935873655</v>
          </cell>
          <cell r="H28">
            <v>0.90449763288001472</v>
          </cell>
          <cell r="I28">
            <v>0</v>
          </cell>
          <cell r="J28">
            <v>0.70264677778912221</v>
          </cell>
          <cell r="K28">
            <v>2.6850111436861838E-2</v>
          </cell>
        </row>
        <row r="30">
          <cell r="B30">
            <v>0.45666689219770401</v>
          </cell>
        </row>
        <row r="31">
          <cell r="B31">
            <v>0.33643816160607409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0.43668116318447053</v>
          </cell>
          <cell r="G33">
            <v>1.3901932052123351</v>
          </cell>
          <cell r="H33">
            <v>1.4327492876453514</v>
          </cell>
          <cell r="I33">
            <v>0</v>
          </cell>
          <cell r="J33">
            <v>0.92014043004482371</v>
          </cell>
          <cell r="K33">
            <v>0</v>
          </cell>
        </row>
        <row r="34">
          <cell r="I34">
            <v>0.92815732748342683</v>
          </cell>
        </row>
        <row r="38">
          <cell r="B38">
            <v>203.10496934581954</v>
          </cell>
          <cell r="C38">
            <v>380.55974167111032</v>
          </cell>
          <cell r="D38">
            <v>205.70127245457044</v>
          </cell>
          <cell r="E38">
            <v>403.6510259045607</v>
          </cell>
          <cell r="F38">
            <v>51.668079299085861</v>
          </cell>
          <cell r="G38">
            <v>0.21964979183657538</v>
          </cell>
          <cell r="H38">
            <v>0.41190011752832195</v>
          </cell>
          <cell r="I38">
            <v>0</v>
          </cell>
          <cell r="J38">
            <v>33.390968816810251</v>
          </cell>
          <cell r="K38">
            <v>440.11206154320638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7.6019111400288404</v>
          </cell>
          <cell r="F39">
            <v>53.637929645622364</v>
          </cell>
          <cell r="G39">
            <v>80.153972291186037</v>
          </cell>
          <cell r="H39">
            <v>542.53990891428282</v>
          </cell>
          <cell r="I39">
            <v>0</v>
          </cell>
          <cell r="J39">
            <v>52.350929213134073</v>
          </cell>
          <cell r="K39">
            <v>0.35234977197249856</v>
          </cell>
        </row>
        <row r="41">
          <cell r="B41">
            <v>146.16537218571912</v>
          </cell>
          <cell r="C41">
            <v>195.76853001623368</v>
          </cell>
          <cell r="D41">
            <v>69.865467837326733</v>
          </cell>
          <cell r="E41">
            <v>187.47545925392345</v>
          </cell>
          <cell r="F41">
            <v>372.38901724261768</v>
          </cell>
          <cell r="G41">
            <v>67.130033153062485</v>
          </cell>
          <cell r="H41">
            <v>72.760735933860175</v>
          </cell>
          <cell r="I41">
            <v>118.73339197140302</v>
          </cell>
          <cell r="J41">
            <v>338.0476669493504</v>
          </cell>
          <cell r="K41">
            <v>115.15769020549502</v>
          </cell>
        </row>
        <row r="42">
          <cell r="B42">
            <v>6.7771920867109401</v>
          </cell>
          <cell r="C42">
            <v>0</v>
          </cell>
          <cell r="D42">
            <v>3.1128895796837398E-2</v>
          </cell>
          <cell r="E42">
            <v>40.198043022118775</v>
          </cell>
          <cell r="F42">
            <v>140.58763691741399</v>
          </cell>
          <cell r="G42">
            <v>67.011394161325455</v>
          </cell>
          <cell r="H42">
            <v>390.24740500804421</v>
          </cell>
          <cell r="I42">
            <v>0.44746275493607862</v>
          </cell>
          <cell r="J42">
            <v>51.720638583701778</v>
          </cell>
          <cell r="K42">
            <v>24.476254890948244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54.182213371953765</v>
          </cell>
          <cell r="G44">
            <v>145.72532351354448</v>
          </cell>
          <cell r="H44">
            <v>858.73765281224382</v>
          </cell>
          <cell r="I44">
            <v>0</v>
          </cell>
          <cell r="J44">
            <v>67.092439531903878</v>
          </cell>
          <cell r="K44">
            <v>0</v>
          </cell>
        </row>
        <row r="45">
          <cell r="B45">
            <v>18.696750882881677</v>
          </cell>
          <cell r="C45">
            <v>0</v>
          </cell>
          <cell r="D45">
            <v>8.5877632288729785E-2</v>
          </cell>
          <cell r="E45">
            <v>110.89737265048703</v>
          </cell>
          <cell r="F45">
            <v>387.84971578599141</v>
          </cell>
          <cell r="G45">
            <v>184.86938645366632</v>
          </cell>
          <cell r="H45">
            <v>1076.6049450529079</v>
          </cell>
          <cell r="I45">
            <v>1.2344492455529579</v>
          </cell>
          <cell r="J45">
            <v>142.68562595402722</v>
          </cell>
          <cell r="K45">
            <v>67.524490140881596</v>
          </cell>
        </row>
        <row r="46">
          <cell r="G46">
            <v>0</v>
          </cell>
        </row>
      </sheetData>
      <sheetData sheetId="2">
        <row r="13">
          <cell r="H13">
            <v>744</v>
          </cell>
          <cell r="I13">
            <v>8.4931506849315067E-2</v>
          </cell>
        </row>
        <row r="21">
          <cell r="B21">
            <v>160.31720430107526</v>
          </cell>
          <cell r="C21">
            <v>275.40309139784955</v>
          </cell>
          <cell r="D21">
            <v>145.9</v>
          </cell>
          <cell r="E21">
            <v>345.66686827956994</v>
          </cell>
          <cell r="F21">
            <v>85.232930107526869</v>
          </cell>
          <cell r="G21">
            <v>1.5354166666666669</v>
          </cell>
          <cell r="H21">
            <v>2.787970430107527</v>
          </cell>
          <cell r="I21">
            <v>0</v>
          </cell>
          <cell r="J21">
            <v>103.09314516129032</v>
          </cell>
          <cell r="K21">
            <v>232.22815860215053</v>
          </cell>
        </row>
        <row r="22">
          <cell r="B22">
            <v>33.757123655913979</v>
          </cell>
          <cell r="C22">
            <v>0</v>
          </cell>
          <cell r="D22">
            <v>2.4731182795698928E-2</v>
          </cell>
          <cell r="E22">
            <v>59.528763440860217</v>
          </cell>
          <cell r="F22">
            <v>163.55362903225807</v>
          </cell>
          <cell r="G22">
            <v>142.52580645161288</v>
          </cell>
          <cell r="H22">
            <v>823.26364247311835</v>
          </cell>
          <cell r="I22">
            <v>0</v>
          </cell>
          <cell r="J22">
            <v>111.80658602150538</v>
          </cell>
          <cell r="K22">
            <v>17.686021505376342</v>
          </cell>
        </row>
        <row r="24">
          <cell r="B24">
            <v>119.276</v>
          </cell>
          <cell r="C24">
            <v>204.89990000000006</v>
          </cell>
          <cell r="D24">
            <v>108.54960000000001</v>
          </cell>
          <cell r="E24">
            <v>257.17615000000001</v>
          </cell>
          <cell r="F24">
            <v>63.413299999999992</v>
          </cell>
          <cell r="G24">
            <v>1.1423500000000002</v>
          </cell>
          <cell r="H24">
            <v>2.0742500000000001</v>
          </cell>
          <cell r="I24">
            <v>0</v>
          </cell>
          <cell r="J24">
            <v>76.701300000000003</v>
          </cell>
          <cell r="K24">
            <v>172.77775</v>
          </cell>
        </row>
        <row r="25">
          <cell r="B25">
            <v>25.115299999999998</v>
          </cell>
          <cell r="C25">
            <v>0</v>
          </cell>
          <cell r="D25">
            <v>1.8400000000000003E-2</v>
          </cell>
          <cell r="E25">
            <v>44.289400000000001</v>
          </cell>
          <cell r="F25">
            <v>121.68390000000001</v>
          </cell>
          <cell r="G25">
            <v>106.03919999999998</v>
          </cell>
          <cell r="H25">
            <v>612.50815</v>
          </cell>
          <cell r="I25">
            <v>0</v>
          </cell>
          <cell r="J25">
            <v>83.184100000000001</v>
          </cell>
          <cell r="K25">
            <v>13.1584</v>
          </cell>
        </row>
        <row r="27">
          <cell r="B27">
            <v>1.7074033454612041</v>
          </cell>
          <cell r="C27">
            <v>1.8707476570754937</v>
          </cell>
          <cell r="D27">
            <v>1.8820879099232506</v>
          </cell>
          <cell r="E27">
            <v>1.5688332562399618</v>
          </cell>
          <cell r="F27">
            <v>0.57360863316947597</v>
          </cell>
          <cell r="G27">
            <v>4.2654220305266985E-2</v>
          </cell>
          <cell r="H27">
            <v>0.10915110182407699</v>
          </cell>
          <cell r="I27">
            <v>0</v>
          </cell>
          <cell r="J27">
            <v>0.28869362860587561</v>
          </cell>
          <cell r="K27">
            <v>2.5822665276358414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0.17781812601833469</v>
          </cell>
          <cell r="F28">
            <v>0.43457057635812957</v>
          </cell>
          <cell r="G28">
            <v>0.76311429558247579</v>
          </cell>
          <cell r="H28">
            <v>0.90134322937635403</v>
          </cell>
          <cell r="I28">
            <v>0</v>
          </cell>
          <cell r="J28">
            <v>0.67879323878373021</v>
          </cell>
          <cell r="K28">
            <v>2.6555062727933447E-2</v>
          </cell>
        </row>
        <row r="30">
          <cell r="B30">
            <v>0.44227038228205362</v>
          </cell>
        </row>
        <row r="31">
          <cell r="B31">
            <v>0.33643816160607415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0.43721789980842968</v>
          </cell>
          <cell r="G33">
            <v>1.3868377384405017</v>
          </cell>
          <cell r="H33">
            <v>1.4284783991288681</v>
          </cell>
          <cell r="I33">
            <v>0</v>
          </cell>
          <cell r="J33">
            <v>0.88059244532842595</v>
          </cell>
          <cell r="K33">
            <v>0</v>
          </cell>
        </row>
        <row r="34">
          <cell r="I34">
            <v>0.92815732748342705</v>
          </cell>
        </row>
        <row r="38">
          <cell r="B38">
            <v>203.11732728775783</v>
          </cell>
          <cell r="C38">
            <v>380.65144443035899</v>
          </cell>
          <cell r="D38">
            <v>204.29988978700484</v>
          </cell>
          <cell r="E38">
            <v>402.38650100753625</v>
          </cell>
          <cell r="F38">
            <v>51.437767445655638</v>
          </cell>
          <cell r="G38">
            <v>0.2126227573776949</v>
          </cell>
          <cell r="H38">
            <v>0.41311007370291619</v>
          </cell>
          <cell r="I38">
            <v>0</v>
          </cell>
          <cell r="J38">
            <v>34.724208816595166</v>
          </cell>
          <cell r="K38">
            <v>441.57679733853922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7.7119254655608236</v>
          </cell>
          <cell r="F39">
            <v>53.921732574983373</v>
          </cell>
          <cell r="G39">
            <v>80.410745166044933</v>
          </cell>
          <cell r="H39">
            <v>543.70560617273247</v>
          </cell>
          <cell r="I39">
            <v>0</v>
          </cell>
          <cell r="J39">
            <v>50.536079963505657</v>
          </cell>
          <cell r="K39">
            <v>0.35091163339928211</v>
          </cell>
        </row>
        <row r="41">
          <cell r="B41">
            <v>141.55748125701695</v>
          </cell>
          <cell r="C41">
            <v>242.66933605434008</v>
          </cell>
          <cell r="D41">
            <v>67.662945785331388</v>
          </cell>
          <cell r="E41">
            <v>181.56526003825144</v>
          </cell>
          <cell r="F41">
            <v>360.64938323190069</v>
          </cell>
          <cell r="G41">
            <v>65.013746195461877</v>
          </cell>
          <cell r="H41">
            <v>70.466940008999615</v>
          </cell>
          <cell r="I41">
            <v>114.99029939333394</v>
          </cell>
          <cell r="J41">
            <v>327.39065048429029</v>
          </cell>
          <cell r="K41">
            <v>111.52732230006545</v>
          </cell>
        </row>
        <row r="42">
          <cell r="B42">
            <v>6.7771920867109401</v>
          </cell>
          <cell r="C42">
            <v>0</v>
          </cell>
          <cell r="D42">
            <v>3.1128895796837409E-2</v>
          </cell>
          <cell r="E42">
            <v>40.19804302211876</v>
          </cell>
          <cell r="F42">
            <v>140.58763691741402</v>
          </cell>
          <cell r="G42">
            <v>67.01139416132547</v>
          </cell>
          <cell r="H42">
            <v>390.24740500804421</v>
          </cell>
          <cell r="I42">
            <v>0.44746275493607857</v>
          </cell>
          <cell r="J42">
            <v>51.720638583701778</v>
          </cell>
          <cell r="K42">
            <v>24.476254890948248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54.48762102417961</v>
          </cell>
          <cell r="G44">
            <v>146.25910300443763</v>
          </cell>
          <cell r="H44">
            <v>860.9596879970062</v>
          </cell>
          <cell r="I44">
            <v>0</v>
          </cell>
          <cell r="J44">
            <v>64.031217204022511</v>
          </cell>
          <cell r="K44">
            <v>0</v>
          </cell>
        </row>
        <row r="45">
          <cell r="B45">
            <v>18.696750882881684</v>
          </cell>
          <cell r="C45">
            <v>0</v>
          </cell>
          <cell r="D45">
            <v>8.5877632288729799E-2</v>
          </cell>
          <cell r="E45">
            <v>110.89737265048703</v>
          </cell>
          <cell r="F45">
            <v>387.84971578599146</v>
          </cell>
          <cell r="G45">
            <v>184.86938645366632</v>
          </cell>
          <cell r="H45">
            <v>1076.6049450529079</v>
          </cell>
          <cell r="I45">
            <v>1.2344492455529577</v>
          </cell>
          <cell r="J45">
            <v>142.68562595402727</v>
          </cell>
          <cell r="K45">
            <v>67.524490140881611</v>
          </cell>
        </row>
        <row r="46">
          <cell r="G46">
            <v>0</v>
          </cell>
        </row>
      </sheetData>
      <sheetData sheetId="3">
        <row r="13">
          <cell r="H13">
            <v>720</v>
          </cell>
          <cell r="I13">
            <v>8.2191780821917804E-2</v>
          </cell>
        </row>
        <row r="21">
          <cell r="B21">
            <v>160.2501388888889</v>
          </cell>
          <cell r="C21">
            <v>277.06194444444452</v>
          </cell>
          <cell r="D21">
            <v>145.9</v>
          </cell>
          <cell r="E21">
            <v>345.85944444444448</v>
          </cell>
          <cell r="F21">
            <v>85.22208333333333</v>
          </cell>
          <cell r="G21">
            <v>1.5354166666666667</v>
          </cell>
          <cell r="H21">
            <v>2.7340277777777779</v>
          </cell>
          <cell r="I21">
            <v>0</v>
          </cell>
          <cell r="J21">
            <v>104.06930555555554</v>
          </cell>
          <cell r="K21">
            <v>231.92333333333335</v>
          </cell>
        </row>
        <row r="22">
          <cell r="B22">
            <v>33.707500000000003</v>
          </cell>
          <cell r="C22">
            <v>0</v>
          </cell>
          <cell r="D22">
            <v>2.4583333333333339E-2</v>
          </cell>
          <cell r="E22">
            <v>59.657499999999999</v>
          </cell>
          <cell r="F22">
            <v>163.88916666666665</v>
          </cell>
          <cell r="G22">
            <v>142.76777777777775</v>
          </cell>
          <cell r="H22">
            <v>824.84027777777794</v>
          </cell>
          <cell r="I22">
            <v>0</v>
          </cell>
          <cell r="J22">
            <v>111.93916666666664</v>
          </cell>
          <cell r="K22">
            <v>17.709444444444447</v>
          </cell>
        </row>
        <row r="24">
          <cell r="B24">
            <v>115.3801</v>
          </cell>
          <cell r="C24">
            <v>199.48460000000003</v>
          </cell>
          <cell r="D24">
            <v>105.048</v>
          </cell>
          <cell r="E24">
            <v>249.01880000000003</v>
          </cell>
          <cell r="F24">
            <v>61.359899999999996</v>
          </cell>
          <cell r="G24">
            <v>1.1054999999999999</v>
          </cell>
          <cell r="H24">
            <v>1.9685000000000001</v>
          </cell>
          <cell r="I24">
            <v>0</v>
          </cell>
          <cell r="J24">
            <v>74.929899999999989</v>
          </cell>
          <cell r="K24">
            <v>166.98480000000001</v>
          </cell>
        </row>
        <row r="25">
          <cell r="B25">
            <v>24.269400000000001</v>
          </cell>
          <cell r="C25">
            <v>0</v>
          </cell>
          <cell r="D25">
            <v>1.7700000000000004E-2</v>
          </cell>
          <cell r="E25">
            <v>42.953400000000002</v>
          </cell>
          <cell r="F25">
            <v>118.00019999999999</v>
          </cell>
          <cell r="G25">
            <v>102.79279999999997</v>
          </cell>
          <cell r="H25">
            <v>593.8850000000001</v>
          </cell>
          <cell r="I25">
            <v>0</v>
          </cell>
          <cell r="J25">
            <v>80.596199999999982</v>
          </cell>
          <cell r="K25">
            <v>12.750800000000002</v>
          </cell>
        </row>
        <row r="27">
          <cell r="B27">
            <v>1.7062834899274928</v>
          </cell>
          <cell r="C27">
            <v>1.86896070102912</v>
          </cell>
          <cell r="D27">
            <v>1.8789186647678453</v>
          </cell>
          <cell r="E27">
            <v>1.5671322738569642</v>
          </cell>
          <cell r="F27">
            <v>0.5726644556896735</v>
          </cell>
          <cell r="G27">
            <v>4.2801890355987825E-2</v>
          </cell>
          <cell r="H27">
            <v>0.10884257413748111</v>
          </cell>
          <cell r="I27">
            <v>0</v>
          </cell>
          <cell r="J27">
            <v>0.28468353162012394</v>
          </cell>
          <cell r="K27">
            <v>2.5804196679396019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0.17807185543417639</v>
          </cell>
          <cell r="F28">
            <v>0.43431408826145967</v>
          </cell>
          <cell r="G28">
            <v>0.76222859879546101</v>
          </cell>
          <cell r="H28">
            <v>0.89987484148166286</v>
          </cell>
          <cell r="I28">
            <v>0</v>
          </cell>
          <cell r="J28">
            <v>0.67776292956906981</v>
          </cell>
          <cell r="K28">
            <v>2.6600610514487727E-2</v>
          </cell>
        </row>
        <row r="30">
          <cell r="B30">
            <v>0.42800359575682612</v>
          </cell>
        </row>
        <row r="31">
          <cell r="B31">
            <v>0.32558531768329763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0.4370515536501956</v>
          </cell>
          <cell r="G33">
            <v>1.3853620987306547</v>
          </cell>
          <cell r="H33">
            <v>1.4262703373892121</v>
          </cell>
          <cell r="I33">
            <v>0</v>
          </cell>
          <cell r="J33">
            <v>0.87886473460686232</v>
          </cell>
          <cell r="K33">
            <v>0</v>
          </cell>
        </row>
        <row r="34">
          <cell r="I34">
            <v>0.89821676853234866</v>
          </cell>
        </row>
        <row r="38">
          <cell r="B38">
            <v>196.34208429657164</v>
          </cell>
          <cell r="C38">
            <v>370.25355996263511</v>
          </cell>
          <cell r="D38">
            <v>197.37664789653266</v>
          </cell>
          <cell r="E38">
            <v>389.17675256199982</v>
          </cell>
          <cell r="F38">
            <v>49.685807025909327</v>
          </cell>
          <cell r="G38">
            <v>0.20647631907728531</v>
          </cell>
          <cell r="H38">
            <v>0.39350188569384076</v>
          </cell>
          <cell r="I38">
            <v>0</v>
          </cell>
          <cell r="J38">
            <v>33.645623052329739</v>
          </cell>
          <cell r="K38">
            <v>426.29342017137498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7.4893826574450362</v>
          </cell>
          <cell r="F39">
            <v>52.254577262541424</v>
          </cell>
          <cell r="G39">
            <v>77.850388905368334</v>
          </cell>
          <cell r="H39">
            <v>526.14280336256115</v>
          </cell>
          <cell r="I39">
            <v>0</v>
          </cell>
          <cell r="J39">
            <v>48.797027859424247</v>
          </cell>
          <cell r="K39">
            <v>0.34033702642740282</v>
          </cell>
        </row>
        <row r="41">
          <cell r="B41">
            <v>136.99111089388737</v>
          </cell>
          <cell r="C41">
            <v>234.841292955813</v>
          </cell>
          <cell r="D41">
            <v>65.480270114836827</v>
          </cell>
          <cell r="E41">
            <v>175.70831616604977</v>
          </cell>
          <cell r="F41">
            <v>349.0155321599039</v>
          </cell>
          <cell r="G41">
            <v>62.916528576253441</v>
          </cell>
          <cell r="H41">
            <v>68.193812911935112</v>
          </cell>
          <cell r="I41">
            <v>111.2809348967748</v>
          </cell>
          <cell r="J41">
            <v>316.8296617589906</v>
          </cell>
          <cell r="K41">
            <v>107.92966674199883</v>
          </cell>
        </row>
        <row r="42">
          <cell r="B42">
            <v>6.5585729871396188</v>
          </cell>
          <cell r="C42">
            <v>0</v>
          </cell>
          <cell r="D42">
            <v>3.0124737867907168E-2</v>
          </cell>
          <cell r="E42">
            <v>38.90133195688913</v>
          </cell>
          <cell r="F42">
            <v>136.05255185556194</v>
          </cell>
          <cell r="G42">
            <v>64.849736285153682</v>
          </cell>
          <cell r="H42">
            <v>377.65877904004276</v>
          </cell>
          <cell r="I42">
            <v>0.43302847251878573</v>
          </cell>
          <cell r="J42">
            <v>50.052230887453334</v>
          </cell>
          <cell r="K42">
            <v>23.686698281562819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52.812749033215738</v>
          </cell>
          <cell r="G44">
            <v>141.61543739419784</v>
          </cell>
          <cell r="H44">
            <v>833.21836263646014</v>
          </cell>
          <cell r="I44">
            <v>0</v>
          </cell>
          <cell r="J44">
            <v>61.776963093848167</v>
          </cell>
          <cell r="K44">
            <v>0</v>
          </cell>
        </row>
        <row r="45">
          <cell r="B45">
            <v>18.093629886659691</v>
          </cell>
          <cell r="C45">
            <v>0</v>
          </cell>
          <cell r="D45">
            <v>8.3107386085867541E-2</v>
          </cell>
          <cell r="E45">
            <v>107.32003804885839</v>
          </cell>
          <cell r="F45">
            <v>375.33843463160463</v>
          </cell>
          <cell r="G45">
            <v>178.90585785838672</v>
          </cell>
          <cell r="H45">
            <v>1041.8757532770073</v>
          </cell>
          <cell r="I45">
            <v>1.1946283021480235</v>
          </cell>
          <cell r="J45">
            <v>138.08286382647796</v>
          </cell>
          <cell r="K45">
            <v>65.346280781498322</v>
          </cell>
        </row>
        <row r="46">
          <cell r="G46">
            <v>0</v>
          </cell>
        </row>
      </sheetData>
      <sheetData sheetId="4">
        <row r="13">
          <cell r="H13">
            <v>744</v>
          </cell>
          <cell r="I13">
            <v>8.493150684931508E-2</v>
          </cell>
        </row>
        <row r="21">
          <cell r="B21">
            <v>159.81115591397847</v>
          </cell>
          <cell r="C21">
            <v>274.37620967741935</v>
          </cell>
          <cell r="D21">
            <v>145.9</v>
          </cell>
          <cell r="E21">
            <v>345.39838709677423</v>
          </cell>
          <cell r="F21">
            <v>85.264717741935485</v>
          </cell>
          <cell r="G21">
            <v>1.5354166666666667</v>
          </cell>
          <cell r="H21">
            <v>2.7643145161290326</v>
          </cell>
          <cell r="I21">
            <v>0</v>
          </cell>
          <cell r="J21">
            <v>99.248588709677435</v>
          </cell>
          <cell r="K21">
            <v>230.19576612903225</v>
          </cell>
        </row>
        <row r="22">
          <cell r="B22">
            <v>33.702083333333334</v>
          </cell>
          <cell r="C22">
            <v>0</v>
          </cell>
          <cell r="D22">
            <v>2.4932795698924731E-2</v>
          </cell>
          <cell r="E22">
            <v>59.033534946236557</v>
          </cell>
          <cell r="F22">
            <v>162.62271505376341</v>
          </cell>
          <cell r="G22">
            <v>141.67768817204302</v>
          </cell>
          <cell r="H22">
            <v>818.47452956989252</v>
          </cell>
          <cell r="I22">
            <v>0</v>
          </cell>
          <cell r="J22">
            <v>111.36202956989248</v>
          </cell>
          <cell r="K22">
            <v>17.594354838709677</v>
          </cell>
        </row>
        <row r="24">
          <cell r="B24">
            <v>118.89949999999999</v>
          </cell>
          <cell r="C24">
            <v>204.13589999999999</v>
          </cell>
          <cell r="D24">
            <v>108.54960000000001</v>
          </cell>
          <cell r="E24">
            <v>256.97640000000001</v>
          </cell>
          <cell r="F24">
            <v>63.436949999999996</v>
          </cell>
          <cell r="G24">
            <v>1.14235</v>
          </cell>
          <cell r="H24">
            <v>2.0566500000000003</v>
          </cell>
          <cell r="I24">
            <v>0</v>
          </cell>
          <cell r="J24">
            <v>73.840950000000007</v>
          </cell>
          <cell r="K24">
            <v>171.26564999999999</v>
          </cell>
        </row>
        <row r="25">
          <cell r="B25">
            <v>25.074349999999999</v>
          </cell>
          <cell r="C25">
            <v>0</v>
          </cell>
          <cell r="D25">
            <v>1.8550000000000001E-2</v>
          </cell>
          <cell r="E25">
            <v>43.920949999999998</v>
          </cell>
          <cell r="F25">
            <v>120.9913</v>
          </cell>
          <cell r="G25">
            <v>105.40819999999999</v>
          </cell>
          <cell r="H25">
            <v>608.94505000000004</v>
          </cell>
          <cell r="I25">
            <v>0</v>
          </cell>
          <cell r="J25">
            <v>82.853350000000006</v>
          </cell>
          <cell r="K25">
            <v>13.090200000000001</v>
          </cell>
        </row>
        <row r="27">
          <cell r="B27">
            <v>1.7136090627332605</v>
          </cell>
          <cell r="C27">
            <v>1.8776612945616284</v>
          </cell>
          <cell r="D27">
            <v>1.8949979774644072</v>
          </cell>
          <cell r="E27">
            <v>1.5748641834882113</v>
          </cell>
          <cell r="F27">
            <v>0.5758243958570991</v>
          </cell>
          <cell r="G27">
            <v>4.406391266180696E-2</v>
          </cell>
          <cell r="H27">
            <v>0.10723342925080835</v>
          </cell>
          <cell r="I27">
            <v>0</v>
          </cell>
          <cell r="J27">
            <v>0.27856969928638875</v>
          </cell>
          <cell r="K27">
            <v>2.6024893266719094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0.17641845909890524</v>
          </cell>
          <cell r="F28">
            <v>0.43437026534635725</v>
          </cell>
          <cell r="G28">
            <v>0.76540228935873655</v>
          </cell>
          <cell r="H28">
            <v>0.90449763288001472</v>
          </cell>
          <cell r="I28">
            <v>0</v>
          </cell>
          <cell r="J28">
            <v>0.70264677778912221</v>
          </cell>
          <cell r="K28">
            <v>2.6850111436861838E-2</v>
          </cell>
        </row>
        <row r="30">
          <cell r="B30">
            <v>0.44227038228205373</v>
          </cell>
        </row>
        <row r="31">
          <cell r="B31">
            <v>0.33643816160607409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0.43668116318447053</v>
          </cell>
          <cell r="G33">
            <v>1.3901932052123351</v>
          </cell>
          <cell r="H33">
            <v>1.4327492876453514</v>
          </cell>
          <cell r="I33">
            <v>0</v>
          </cell>
          <cell r="J33">
            <v>0.92014043004482371</v>
          </cell>
          <cell r="K33">
            <v>0</v>
          </cell>
        </row>
        <row r="34">
          <cell r="I34">
            <v>0.92815732748342683</v>
          </cell>
        </row>
        <row r="38">
          <cell r="B38">
            <v>203.10496934581954</v>
          </cell>
          <cell r="C38">
            <v>380.55974167111032</v>
          </cell>
          <cell r="D38">
            <v>205.70127245457044</v>
          </cell>
          <cell r="E38">
            <v>403.6510259045607</v>
          </cell>
          <cell r="F38">
            <v>51.668079299085861</v>
          </cell>
          <cell r="G38">
            <v>0.21964979183657538</v>
          </cell>
          <cell r="H38">
            <v>0.41190011752832195</v>
          </cell>
          <cell r="I38">
            <v>0</v>
          </cell>
          <cell r="J38">
            <v>33.390968816810251</v>
          </cell>
          <cell r="K38">
            <v>440.11206154320638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7.6019111400288404</v>
          </cell>
          <cell r="F39">
            <v>53.637929645622364</v>
          </cell>
          <cell r="G39">
            <v>80.153972291186037</v>
          </cell>
          <cell r="H39">
            <v>542.53990891428282</v>
          </cell>
          <cell r="I39">
            <v>0</v>
          </cell>
          <cell r="J39">
            <v>52.350929213134073</v>
          </cell>
          <cell r="K39">
            <v>0.35234977197249856</v>
          </cell>
        </row>
        <row r="41">
          <cell r="B41">
            <v>141.55748125701697</v>
          </cell>
          <cell r="C41">
            <v>242.66933605434008</v>
          </cell>
          <cell r="D41">
            <v>67.662945785331388</v>
          </cell>
          <cell r="E41">
            <v>181.56526003825147</v>
          </cell>
          <cell r="F41">
            <v>360.64938323190069</v>
          </cell>
          <cell r="G41">
            <v>65.013746195461891</v>
          </cell>
          <cell r="H41">
            <v>70.466940008999615</v>
          </cell>
          <cell r="I41">
            <v>114.99029939333394</v>
          </cell>
          <cell r="J41">
            <v>327.39065048429029</v>
          </cell>
          <cell r="K41">
            <v>111.52732230006545</v>
          </cell>
        </row>
        <row r="42">
          <cell r="B42">
            <v>6.7771920867109401</v>
          </cell>
          <cell r="C42">
            <v>0</v>
          </cell>
          <cell r="D42">
            <v>3.1128895796837398E-2</v>
          </cell>
          <cell r="E42">
            <v>40.198043022118775</v>
          </cell>
          <cell r="F42">
            <v>140.58763691741399</v>
          </cell>
          <cell r="G42">
            <v>67.011394161325455</v>
          </cell>
          <cell r="H42">
            <v>390.24740500804421</v>
          </cell>
          <cell r="I42">
            <v>0.44746275493607862</v>
          </cell>
          <cell r="J42">
            <v>51.720638583701778</v>
          </cell>
          <cell r="K42">
            <v>24.476254890948244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54.182213371953765</v>
          </cell>
          <cell r="G44">
            <v>145.72532351354448</v>
          </cell>
          <cell r="H44">
            <v>858.73765281224382</v>
          </cell>
          <cell r="I44">
            <v>0</v>
          </cell>
          <cell r="J44">
            <v>67.092439531903878</v>
          </cell>
          <cell r="K44">
            <v>0</v>
          </cell>
        </row>
        <row r="45">
          <cell r="B45">
            <v>18.696750882881677</v>
          </cell>
          <cell r="C45">
            <v>0</v>
          </cell>
          <cell r="D45">
            <v>8.5877632288729785E-2</v>
          </cell>
          <cell r="E45">
            <v>110.89737265048703</v>
          </cell>
          <cell r="F45">
            <v>387.84971578599141</v>
          </cell>
          <cell r="G45">
            <v>184.86938645366632</v>
          </cell>
          <cell r="H45">
            <v>1076.6049450529079</v>
          </cell>
          <cell r="I45">
            <v>1.2344492455529579</v>
          </cell>
          <cell r="J45">
            <v>142.68562595402722</v>
          </cell>
          <cell r="K45">
            <v>67.524490140881596</v>
          </cell>
        </row>
        <row r="46">
          <cell r="G46">
            <v>0</v>
          </cell>
        </row>
      </sheetData>
      <sheetData sheetId="5">
        <row r="13">
          <cell r="H13">
            <v>720</v>
          </cell>
          <cell r="I13">
            <v>8.2191780821917818E-2</v>
          </cell>
        </row>
        <row r="21">
          <cell r="B21">
            <v>158.15847222222223</v>
          </cell>
          <cell r="C21">
            <v>272.8175</v>
          </cell>
          <cell r="D21">
            <v>145.9</v>
          </cell>
          <cell r="E21">
            <v>344.7497222222222</v>
          </cell>
          <cell r="F21">
            <v>85.353472222222223</v>
          </cell>
          <cell r="G21">
            <v>1.5354166666666667</v>
          </cell>
          <cell r="H21">
            <v>2.6362500000000004</v>
          </cell>
          <cell r="I21">
            <v>0</v>
          </cell>
          <cell r="J21">
            <v>88.178472222222226</v>
          </cell>
          <cell r="K21">
            <v>223.5227777777778</v>
          </cell>
        </row>
        <row r="22">
          <cell r="B22">
            <v>33.480000000000004</v>
          </cell>
          <cell r="C22">
            <v>0</v>
          </cell>
          <cell r="D22">
            <v>2.5416666666666667E-2</v>
          </cell>
          <cell r="E22">
            <v>57.610555555555557</v>
          </cell>
          <cell r="F22">
            <v>160.04138888888886</v>
          </cell>
          <cell r="G22">
            <v>139.26222222222219</v>
          </cell>
          <cell r="H22">
            <v>805.04527777777776</v>
          </cell>
          <cell r="I22">
            <v>0</v>
          </cell>
          <cell r="J22">
            <v>110.10166666666669</v>
          </cell>
          <cell r="K22">
            <v>17.330555555555556</v>
          </cell>
        </row>
        <row r="24">
          <cell r="B24">
            <v>113.87410000000001</v>
          </cell>
          <cell r="C24">
            <v>196.42859999999999</v>
          </cell>
          <cell r="D24">
            <v>105.048</v>
          </cell>
          <cell r="E24">
            <v>248.21979999999999</v>
          </cell>
          <cell r="F24">
            <v>61.454500000000003</v>
          </cell>
          <cell r="G24">
            <v>1.1054999999999999</v>
          </cell>
          <cell r="H24">
            <v>1.8981000000000003</v>
          </cell>
          <cell r="I24">
            <v>0</v>
          </cell>
          <cell r="J24">
            <v>63.488500000000002</v>
          </cell>
          <cell r="K24">
            <v>160.93640000000002</v>
          </cell>
        </row>
        <row r="25">
          <cell r="B25">
            <v>24.105600000000003</v>
          </cell>
          <cell r="C25">
            <v>0</v>
          </cell>
          <cell r="D25">
            <v>1.83E-2</v>
          </cell>
          <cell r="E25">
            <v>41.479599999999998</v>
          </cell>
          <cell r="F25">
            <v>115.22979999999997</v>
          </cell>
          <cell r="G25">
            <v>100.26879999999997</v>
          </cell>
          <cell r="H25">
            <v>579.63260000000002</v>
          </cell>
          <cell r="I25">
            <v>0</v>
          </cell>
          <cell r="J25">
            <v>79.273200000000017</v>
          </cell>
          <cell r="K25">
            <v>12.478</v>
          </cell>
        </row>
        <row r="27">
          <cell r="B27">
            <v>1.7319337879853274</v>
          </cell>
          <cell r="C27">
            <v>1.8975370693051437</v>
          </cell>
          <cell r="D27">
            <v>1.9322802772712944</v>
          </cell>
          <cell r="E27">
            <v>1.5920601064830642</v>
          </cell>
          <cell r="F27">
            <v>0.58182294146518221</v>
          </cell>
          <cell r="G27">
            <v>4.8628618763019736E-2</v>
          </cell>
          <cell r="H27">
            <v>0.10091619416797079</v>
          </cell>
          <cell r="I27">
            <v>0</v>
          </cell>
          <cell r="J27">
            <v>0.24283795709957839</v>
          </cell>
          <cell r="K27">
            <v>2.6640072372886823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0.17228656550053451</v>
          </cell>
          <cell r="F28">
            <v>0.43348613607946745</v>
          </cell>
          <cell r="G28">
            <v>0.77168563973733972</v>
          </cell>
          <cell r="H28">
            <v>0.91291304263012707</v>
          </cell>
          <cell r="I28">
            <v>0</v>
          </cell>
          <cell r="J28">
            <v>0.77635755745802393</v>
          </cell>
          <cell r="K28">
            <v>2.7820145178058406E-2</v>
          </cell>
        </row>
        <row r="30">
          <cell r="B30">
            <v>0.42800359575682617</v>
          </cell>
        </row>
        <row r="31">
          <cell r="B31">
            <v>0.32558531768329757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0.43483304227116448</v>
          </cell>
          <cell r="G33">
            <v>1.3992313613875675</v>
          </cell>
          <cell r="H33">
            <v>1.4439233432573428</v>
          </cell>
          <cell r="I33">
            <v>0</v>
          </cell>
          <cell r="J33">
            <v>1.0423297381013052</v>
          </cell>
          <cell r="K33">
            <v>0</v>
          </cell>
        </row>
        <row r="34">
          <cell r="I34">
            <v>0.89821676853234855</v>
          </cell>
        </row>
        <row r="38">
          <cell r="B38">
            <v>196.29265252881873</v>
          </cell>
          <cell r="C38">
            <v>369.88674892564086</v>
          </cell>
          <cell r="D38">
            <v>202.98217856679497</v>
          </cell>
          <cell r="E38">
            <v>394.23485215009782</v>
          </cell>
          <cell r="F38">
            <v>50.60705443963024</v>
          </cell>
          <cell r="G38">
            <v>0.23458445691280727</v>
          </cell>
          <cell r="H38">
            <v>0.38866206099546374</v>
          </cell>
          <cell r="I38">
            <v>0</v>
          </cell>
          <cell r="J38">
            <v>28.312663053190096</v>
          </cell>
          <cell r="K38">
            <v>420.43447699004349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7.0493253553171069</v>
          </cell>
          <cell r="F39">
            <v>51.119365545097409</v>
          </cell>
          <cell r="G39">
            <v>76.823297405932706</v>
          </cell>
          <cell r="H39">
            <v>521.48001432876231</v>
          </cell>
          <cell r="I39">
            <v>0</v>
          </cell>
          <cell r="J39">
            <v>56.056424857937905</v>
          </cell>
          <cell r="K39">
            <v>0.34608958072026857</v>
          </cell>
        </row>
        <row r="41">
          <cell r="B41">
            <v>136.99111089388737</v>
          </cell>
          <cell r="C41">
            <v>234.841292955813</v>
          </cell>
          <cell r="D41">
            <v>65.480270114836841</v>
          </cell>
          <cell r="E41">
            <v>175.70831616604985</v>
          </cell>
          <cell r="F41">
            <v>349.01553215990384</v>
          </cell>
          <cell r="G41">
            <v>62.916528576253455</v>
          </cell>
          <cell r="H41">
            <v>68.19381291193514</v>
          </cell>
          <cell r="I41">
            <v>111.28093489677482</v>
          </cell>
          <cell r="J41">
            <v>316.8296617589906</v>
          </cell>
          <cell r="K41">
            <v>107.92966674199886</v>
          </cell>
        </row>
        <row r="42">
          <cell r="B42">
            <v>6.5585729871396197</v>
          </cell>
          <cell r="C42">
            <v>0</v>
          </cell>
          <cell r="D42">
            <v>3.0124737867907161E-2</v>
          </cell>
          <cell r="E42">
            <v>38.90133195688913</v>
          </cell>
          <cell r="F42">
            <v>136.05255185556194</v>
          </cell>
          <cell r="G42">
            <v>64.849736285153682</v>
          </cell>
          <cell r="H42">
            <v>377.65877904004276</v>
          </cell>
          <cell r="I42">
            <v>0.43302847251878585</v>
          </cell>
          <cell r="J42">
            <v>50.052230887453348</v>
          </cell>
          <cell r="K42">
            <v>23.686698281562823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51.591118424312342</v>
          </cell>
          <cell r="G44">
            <v>139.48031943062526</v>
          </cell>
          <cell r="H44">
            <v>824.33022189741064</v>
          </cell>
          <cell r="I44">
            <v>0</v>
          </cell>
          <cell r="J44">
            <v>74.02185240537365</v>
          </cell>
          <cell r="K44">
            <v>0</v>
          </cell>
        </row>
        <row r="45">
          <cell r="B45">
            <v>18.093629886659688</v>
          </cell>
          <cell r="C45">
            <v>0</v>
          </cell>
          <cell r="D45">
            <v>8.3107386085867554E-2</v>
          </cell>
          <cell r="E45">
            <v>107.32003804885839</v>
          </cell>
          <cell r="F45">
            <v>375.33843463160474</v>
          </cell>
          <cell r="G45">
            <v>178.90585785838675</v>
          </cell>
          <cell r="H45">
            <v>1041.8757532770076</v>
          </cell>
          <cell r="I45">
            <v>1.1946283021480235</v>
          </cell>
          <cell r="J45">
            <v>138.08286382647796</v>
          </cell>
          <cell r="K45">
            <v>65.346280781498322</v>
          </cell>
        </row>
        <row r="46">
          <cell r="G46">
            <v>0</v>
          </cell>
        </row>
      </sheetData>
      <sheetData sheetId="6">
        <row r="13">
          <cell r="H13">
            <v>744</v>
          </cell>
          <cell r="I13">
            <v>8.493150684931508E-2</v>
          </cell>
        </row>
        <row r="21">
          <cell r="B21">
            <v>159.81115591397847</v>
          </cell>
          <cell r="C21">
            <v>274.37620967741935</v>
          </cell>
          <cell r="D21">
            <v>145.9</v>
          </cell>
          <cell r="E21">
            <v>345.39838709677423</v>
          </cell>
          <cell r="F21">
            <v>85.264717741935485</v>
          </cell>
          <cell r="G21">
            <v>1.5354166666666667</v>
          </cell>
          <cell r="H21">
            <v>2.7643145161290326</v>
          </cell>
          <cell r="I21">
            <v>0</v>
          </cell>
          <cell r="J21">
            <v>99.248588709677435</v>
          </cell>
          <cell r="K21">
            <v>230.19576612903225</v>
          </cell>
        </row>
        <row r="22">
          <cell r="B22">
            <v>33.702083333333334</v>
          </cell>
          <cell r="C22">
            <v>0</v>
          </cell>
          <cell r="D22">
            <v>2.4932795698924731E-2</v>
          </cell>
          <cell r="E22">
            <v>59.033534946236557</v>
          </cell>
          <cell r="F22">
            <v>162.62271505376341</v>
          </cell>
          <cell r="G22">
            <v>141.67768817204302</v>
          </cell>
          <cell r="H22">
            <v>818.47452956989252</v>
          </cell>
          <cell r="I22">
            <v>0</v>
          </cell>
          <cell r="J22">
            <v>111.36202956989248</v>
          </cell>
          <cell r="K22">
            <v>17.594354838709677</v>
          </cell>
        </row>
        <row r="24">
          <cell r="B24">
            <v>118.89949999999999</v>
          </cell>
          <cell r="C24">
            <v>204.13589999999999</v>
          </cell>
          <cell r="D24">
            <v>108.54960000000001</v>
          </cell>
          <cell r="E24">
            <v>256.97640000000001</v>
          </cell>
          <cell r="F24">
            <v>63.436949999999996</v>
          </cell>
          <cell r="G24">
            <v>1.14235</v>
          </cell>
          <cell r="H24">
            <v>2.0566500000000003</v>
          </cell>
          <cell r="I24">
            <v>0</v>
          </cell>
          <cell r="J24">
            <v>73.840950000000007</v>
          </cell>
          <cell r="K24">
            <v>171.26564999999999</v>
          </cell>
        </row>
        <row r="25">
          <cell r="B25">
            <v>25.074349999999999</v>
          </cell>
          <cell r="C25">
            <v>0</v>
          </cell>
          <cell r="D25">
            <v>1.8550000000000001E-2</v>
          </cell>
          <cell r="E25">
            <v>43.920949999999998</v>
          </cell>
          <cell r="F25">
            <v>120.9913</v>
          </cell>
          <cell r="G25">
            <v>105.40819999999999</v>
          </cell>
          <cell r="H25">
            <v>608.94505000000004</v>
          </cell>
          <cell r="I25">
            <v>0</v>
          </cell>
          <cell r="J25">
            <v>82.853350000000006</v>
          </cell>
          <cell r="K25">
            <v>13.090200000000001</v>
          </cell>
        </row>
        <row r="27">
          <cell r="B27">
            <v>1.7136090627332605</v>
          </cell>
          <cell r="C27">
            <v>1.8776612945616284</v>
          </cell>
          <cell r="D27">
            <v>1.8949979774644072</v>
          </cell>
          <cell r="E27">
            <v>1.5748641834882113</v>
          </cell>
          <cell r="F27">
            <v>0.5758243958570991</v>
          </cell>
          <cell r="G27">
            <v>4.406391266180696E-2</v>
          </cell>
          <cell r="H27">
            <v>0.10723342925080835</v>
          </cell>
          <cell r="I27">
            <v>0</v>
          </cell>
          <cell r="J27">
            <v>0.27856969928638875</v>
          </cell>
          <cell r="K27">
            <v>2.6024893266719094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0.17641845909890524</v>
          </cell>
          <cell r="F28">
            <v>0.43437026534635725</v>
          </cell>
          <cell r="G28">
            <v>0.76540228935873655</v>
          </cell>
          <cell r="H28">
            <v>0.90449763288001472</v>
          </cell>
          <cell r="I28">
            <v>0</v>
          </cell>
          <cell r="J28">
            <v>0.70264677778912221</v>
          </cell>
          <cell r="K28">
            <v>2.6850111436861838E-2</v>
          </cell>
        </row>
        <row r="30">
          <cell r="B30">
            <v>0.44227038228205373</v>
          </cell>
        </row>
        <row r="31">
          <cell r="B31">
            <v>0.33643816160607409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0.43668116318447053</v>
          </cell>
          <cell r="G33">
            <v>1.3901932052123351</v>
          </cell>
          <cell r="H33">
            <v>1.4327492876453514</v>
          </cell>
          <cell r="I33">
            <v>0</v>
          </cell>
          <cell r="J33">
            <v>0.92014043004482371</v>
          </cell>
          <cell r="K33">
            <v>0</v>
          </cell>
        </row>
        <row r="34">
          <cell r="I34">
            <v>0.92815732748342683</v>
          </cell>
        </row>
        <row r="38">
          <cell r="B38">
            <v>203.10496934581954</v>
          </cell>
          <cell r="C38">
            <v>380.55974167111032</v>
          </cell>
          <cell r="D38">
            <v>205.70127245457044</v>
          </cell>
          <cell r="E38">
            <v>403.6510259045607</v>
          </cell>
          <cell r="F38">
            <v>51.668079299085861</v>
          </cell>
          <cell r="G38">
            <v>0.21964979183657538</v>
          </cell>
          <cell r="H38">
            <v>0.41190011752832195</v>
          </cell>
          <cell r="I38">
            <v>0</v>
          </cell>
          <cell r="J38">
            <v>33.390968816810251</v>
          </cell>
          <cell r="K38">
            <v>440.11206154320638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7.6019111400288404</v>
          </cell>
          <cell r="F39">
            <v>53.637929645622364</v>
          </cell>
          <cell r="G39">
            <v>80.153972291186037</v>
          </cell>
          <cell r="H39">
            <v>542.53990891428282</v>
          </cell>
          <cell r="I39">
            <v>0</v>
          </cell>
          <cell r="J39">
            <v>52.350929213134073</v>
          </cell>
          <cell r="K39">
            <v>0.35234977197249856</v>
          </cell>
        </row>
        <row r="41">
          <cell r="B41">
            <v>141.55748125701697</v>
          </cell>
          <cell r="C41">
            <v>242.66933605434008</v>
          </cell>
          <cell r="D41">
            <v>67.662945785331388</v>
          </cell>
          <cell r="E41">
            <v>181.56526003825147</v>
          </cell>
          <cell r="F41">
            <v>360.64938323190069</v>
          </cell>
          <cell r="G41">
            <v>65.013746195461891</v>
          </cell>
          <cell r="H41">
            <v>70.466940008999615</v>
          </cell>
          <cell r="I41">
            <v>114.99029939333394</v>
          </cell>
          <cell r="J41">
            <v>327.39065048429029</v>
          </cell>
          <cell r="K41">
            <v>111.52732230006545</v>
          </cell>
        </row>
        <row r="42">
          <cell r="B42">
            <v>6.7771920867109401</v>
          </cell>
          <cell r="C42">
            <v>0</v>
          </cell>
          <cell r="D42">
            <v>3.1128895796837398E-2</v>
          </cell>
          <cell r="E42">
            <v>40.198043022118775</v>
          </cell>
          <cell r="F42">
            <v>140.58763691741399</v>
          </cell>
          <cell r="G42">
            <v>67.011394161325455</v>
          </cell>
          <cell r="H42">
            <v>390.24740500804421</v>
          </cell>
          <cell r="I42">
            <v>0.44746275493607862</v>
          </cell>
          <cell r="J42">
            <v>51.720638583701778</v>
          </cell>
          <cell r="K42">
            <v>24.476254890948244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54.182213371953765</v>
          </cell>
          <cell r="G44">
            <v>145.72532351354448</v>
          </cell>
          <cell r="H44">
            <v>858.73765281224382</v>
          </cell>
          <cell r="I44">
            <v>0</v>
          </cell>
          <cell r="J44">
            <v>67.092439531903878</v>
          </cell>
          <cell r="K44">
            <v>0</v>
          </cell>
        </row>
        <row r="45">
          <cell r="B45">
            <v>18.696750882881677</v>
          </cell>
          <cell r="C45">
            <v>0</v>
          </cell>
          <cell r="D45">
            <v>8.5877632288729785E-2</v>
          </cell>
          <cell r="E45">
            <v>110.89737265048703</v>
          </cell>
          <cell r="F45">
            <v>387.84971578599141</v>
          </cell>
          <cell r="G45">
            <v>184.86938645366632</v>
          </cell>
          <cell r="H45">
            <v>1076.6049450529079</v>
          </cell>
          <cell r="I45">
            <v>1.2344492455529579</v>
          </cell>
          <cell r="J45">
            <v>142.68562595402722</v>
          </cell>
          <cell r="K45">
            <v>67.524490140881596</v>
          </cell>
        </row>
        <row r="46">
          <cell r="G46">
            <v>0</v>
          </cell>
        </row>
      </sheetData>
      <sheetData sheetId="7">
        <row r="13">
          <cell r="H13">
            <v>744</v>
          </cell>
          <cell r="I13">
            <v>8.4931506849315067E-2</v>
          </cell>
        </row>
        <row r="21">
          <cell r="B21">
            <v>70.866801075268825</v>
          </cell>
          <cell r="C21">
            <v>304.80201612903221</v>
          </cell>
          <cell r="D21">
            <v>31.5</v>
          </cell>
          <cell r="E21">
            <v>159.06639784946236</v>
          </cell>
          <cell r="F21">
            <v>271.32264784946233</v>
          </cell>
          <cell r="G21">
            <v>47.608333333333334</v>
          </cell>
          <cell r="H21">
            <v>0</v>
          </cell>
          <cell r="I21">
            <v>58.666666666666664</v>
          </cell>
          <cell r="J21">
            <v>394.77163978494622</v>
          </cell>
          <cell r="K21">
            <v>88.563239247311827</v>
          </cell>
        </row>
        <row r="22">
          <cell r="B22">
            <v>36.599529569892475</v>
          </cell>
          <cell r="C22">
            <v>0</v>
          </cell>
          <cell r="D22">
            <v>8.0107526881720445E-2</v>
          </cell>
          <cell r="E22">
            <v>74.0116935483871</v>
          </cell>
          <cell r="F22">
            <v>163.22936827956988</v>
          </cell>
          <cell r="G22">
            <v>142.53245967741935</v>
          </cell>
          <cell r="H22">
            <v>869.28998655913983</v>
          </cell>
          <cell r="I22">
            <v>0</v>
          </cell>
          <cell r="J22">
            <v>118.93319892473119</v>
          </cell>
          <cell r="K22">
            <v>22.471505376344084</v>
          </cell>
        </row>
        <row r="24">
          <cell r="B24">
            <v>52.724899999999998</v>
          </cell>
          <cell r="C24">
            <v>226.77269999999999</v>
          </cell>
          <cell r="D24">
            <v>23.436</v>
          </cell>
          <cell r="E24">
            <v>118.3454</v>
          </cell>
          <cell r="F24">
            <v>201.86404999999999</v>
          </cell>
          <cell r="G24">
            <v>35.4206</v>
          </cell>
          <cell r="H24">
            <v>0</v>
          </cell>
          <cell r="I24">
            <v>43.648000000000003</v>
          </cell>
          <cell r="J24">
            <v>293.71009999999995</v>
          </cell>
          <cell r="K24">
            <v>65.891050000000007</v>
          </cell>
        </row>
        <row r="25">
          <cell r="B25">
            <v>27.230049999999999</v>
          </cell>
          <cell r="C25">
            <v>0</v>
          </cell>
          <cell r="D25">
            <v>5.9600000000000007E-2</v>
          </cell>
          <cell r="E25">
            <v>55.064700000000002</v>
          </cell>
          <cell r="F25">
            <v>121.44265</v>
          </cell>
          <cell r="G25">
            <v>106.04415</v>
          </cell>
          <cell r="H25">
            <v>646.75175000000002</v>
          </cell>
          <cell r="I25">
            <v>0</v>
          </cell>
          <cell r="J25">
            <v>88.4863</v>
          </cell>
          <cell r="K25">
            <v>16.718799999999998</v>
          </cell>
        </row>
        <row r="27">
          <cell r="B27">
            <v>1.8185804412611914</v>
          </cell>
          <cell r="C27">
            <v>2.8949973440599011</v>
          </cell>
          <cell r="D27">
            <v>2.8137533940404409</v>
          </cell>
          <cell r="E27">
            <v>2.2247212893337465</v>
          </cell>
          <cell r="F27">
            <v>1.6553210309833817</v>
          </cell>
          <cell r="G27">
            <v>0.3682609357005962</v>
          </cell>
          <cell r="H27">
            <v>0</v>
          </cell>
          <cell r="I27">
            <v>0.78016569649472645</v>
          </cell>
          <cell r="J27">
            <v>0.37115908059698233</v>
          </cell>
          <cell r="K27">
            <v>3.9674823985387047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0.58279350209646363</v>
          </cell>
          <cell r="F28">
            <v>0.79044347448081853</v>
          </cell>
          <cell r="G28">
            <v>1.0221816602651685</v>
          </cell>
          <cell r="H28">
            <v>0.67714779348357612</v>
          </cell>
          <cell r="I28">
            <v>0</v>
          </cell>
          <cell r="J28">
            <v>1.0916142566956131</v>
          </cell>
          <cell r="K28">
            <v>0.12575360590939502</v>
          </cell>
        </row>
        <row r="30">
          <cell r="B30">
            <v>0.42447224065850458</v>
          </cell>
        </row>
        <row r="31">
          <cell r="B31">
            <v>0.3228989912530103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0.87933310665924258</v>
          </cell>
          <cell r="G33">
            <v>2.0302643604525077</v>
          </cell>
          <cell r="H33">
            <v>1.0749411899225367</v>
          </cell>
          <cell r="I33">
            <v>0</v>
          </cell>
          <cell r="J33">
            <v>1.3548503623565431</v>
          </cell>
          <cell r="K33">
            <v>0</v>
          </cell>
        </row>
        <row r="34">
          <cell r="I34">
            <v>0.92815732748342694</v>
          </cell>
        </row>
        <row r="38">
          <cell r="B38">
            <v>97.465935863323821</v>
          </cell>
          <cell r="C38">
            <v>632.84914535981113</v>
          </cell>
          <cell r="D38">
            <v>65.943124542731766</v>
          </cell>
          <cell r="E38">
            <v>257.55527056216079</v>
          </cell>
          <cell r="F38">
            <v>308.16110959240405</v>
          </cell>
          <cell r="G38">
            <v>12.789118535500263</v>
          </cell>
          <cell r="H38">
            <v>0</v>
          </cell>
          <cell r="I38">
            <v>42.15759365318533</v>
          </cell>
          <cell r="J38">
            <v>107.68508539278672</v>
          </cell>
          <cell r="K38">
            <v>261.96155556983234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31.470583725386241</v>
          </cell>
          <cell r="F39">
            <v>99.113326928561705</v>
          </cell>
          <cell r="G39">
            <v>107.44515618445308</v>
          </cell>
          <cell r="H39">
            <v>432.43169587228084</v>
          </cell>
          <cell r="I39">
            <v>0</v>
          </cell>
          <cell r="J39">
            <v>93.130834846671988</v>
          </cell>
          <cell r="K39">
            <v>2.0803763305328262</v>
          </cell>
        </row>
        <row r="41">
          <cell r="B41">
            <v>135.86083006756758</v>
          </cell>
          <cell r="C41">
            <v>232.90367372691492</v>
          </cell>
          <cell r="D41">
            <v>64.94000809834462</v>
          </cell>
          <cell r="E41">
            <v>174.25858895753589</v>
          </cell>
          <cell r="F41">
            <v>346.13588864497751</v>
          </cell>
          <cell r="G41">
            <v>62.397419376800173</v>
          </cell>
          <cell r="H41">
            <v>67.631162104119539</v>
          </cell>
          <cell r="I41">
            <v>110.3627825712112</v>
          </cell>
          <cell r="J41">
            <v>314.21557614745797</v>
          </cell>
          <cell r="K41">
            <v>107.03916492685509</v>
          </cell>
        </row>
        <row r="42">
          <cell r="B42">
            <v>6.5044597731725844</v>
          </cell>
          <cell r="C42">
            <v>0</v>
          </cell>
          <cell r="D42">
            <v>2.9876185875096634E-2</v>
          </cell>
          <cell r="E42">
            <v>38.580366389544906</v>
          </cell>
          <cell r="F42">
            <v>134.93001485494349</v>
          </cell>
          <cell r="G42">
            <v>64.31467665218392</v>
          </cell>
          <cell r="H42">
            <v>374.54280695940952</v>
          </cell>
          <cell r="I42">
            <v>0.42945565836650373</v>
          </cell>
          <cell r="J42">
            <v>49.639261925325286</v>
          </cell>
          <cell r="K42">
            <v>23.491265010514969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111.05119123261646</v>
          </cell>
          <cell r="G44">
            <v>213.63872402763738</v>
          </cell>
          <cell r="H44">
            <v>686.00723878543147</v>
          </cell>
          <cell r="I44">
            <v>0</v>
          </cell>
          <cell r="J44">
            <v>115.04047518396088</v>
          </cell>
          <cell r="K44">
            <v>0</v>
          </cell>
        </row>
        <row r="45">
          <cell r="B45">
            <v>18.696750882881677</v>
          </cell>
          <cell r="C45">
            <v>0</v>
          </cell>
          <cell r="D45">
            <v>8.5877632288729772E-2</v>
          </cell>
          <cell r="E45">
            <v>110.897372650487</v>
          </cell>
          <cell r="F45">
            <v>387.84971578599146</v>
          </cell>
          <cell r="G45">
            <v>184.86938645366629</v>
          </cell>
          <cell r="H45">
            <v>1076.6049450529079</v>
          </cell>
          <cell r="I45">
            <v>1.2344492455529577</v>
          </cell>
          <cell r="J45">
            <v>142.68562595402719</v>
          </cell>
          <cell r="K45">
            <v>67.524490140881596</v>
          </cell>
        </row>
        <row r="46">
          <cell r="G46">
            <v>0</v>
          </cell>
        </row>
      </sheetData>
      <sheetData sheetId="8">
        <row r="13">
          <cell r="H13">
            <v>672</v>
          </cell>
          <cell r="I13">
            <v>7.6712328767123306E-2</v>
          </cell>
        </row>
        <row r="21">
          <cell r="B21">
            <v>70.942559523809521</v>
          </cell>
          <cell r="C21">
            <v>304.8252976190476</v>
          </cell>
          <cell r="D21">
            <v>31.5</v>
          </cell>
          <cell r="E21">
            <v>159.18898809523813</v>
          </cell>
          <cell r="F21">
            <v>271.43065476190475</v>
          </cell>
          <cell r="G21">
            <v>47.608333333333334</v>
          </cell>
          <cell r="H21">
            <v>0</v>
          </cell>
          <cell r="I21">
            <v>57.294642857142854</v>
          </cell>
          <cell r="J21">
            <v>392.2459821428572</v>
          </cell>
          <cell r="K21">
            <v>88.321354166666652</v>
          </cell>
        </row>
        <row r="22">
          <cell r="B22">
            <v>36.686011904761905</v>
          </cell>
          <cell r="C22">
            <v>0</v>
          </cell>
          <cell r="D22">
            <v>7.7083333333333323E-2</v>
          </cell>
          <cell r="E22">
            <v>73.660044642857144</v>
          </cell>
          <cell r="F22">
            <v>162.50550595238096</v>
          </cell>
          <cell r="G22">
            <v>141.91830357142857</v>
          </cell>
          <cell r="H22">
            <v>867.49583333333328</v>
          </cell>
          <cell r="I22">
            <v>0</v>
          </cell>
          <cell r="J22">
            <v>118.66264880952382</v>
          </cell>
          <cell r="K22">
            <v>22.343601190476193</v>
          </cell>
        </row>
        <row r="24">
          <cell r="B24">
            <v>47.673400000000001</v>
          </cell>
          <cell r="C24">
            <v>204.84259999999998</v>
          </cell>
          <cell r="D24">
            <v>21.167999999999999</v>
          </cell>
          <cell r="E24">
            <v>106.97500000000001</v>
          </cell>
          <cell r="F24">
            <v>182.4014</v>
          </cell>
          <cell r="G24">
            <v>31.992800000000003</v>
          </cell>
          <cell r="H24">
            <v>0</v>
          </cell>
          <cell r="I24">
            <v>38.502000000000002</v>
          </cell>
          <cell r="J24">
            <v>263.58930000000004</v>
          </cell>
          <cell r="K24">
            <v>59.351949999999988</v>
          </cell>
        </row>
        <row r="25">
          <cell r="B25">
            <v>24.652999999999999</v>
          </cell>
          <cell r="C25">
            <v>0</v>
          </cell>
          <cell r="D25">
            <v>5.1799999999999999E-2</v>
          </cell>
          <cell r="E25">
            <v>49.499550000000006</v>
          </cell>
          <cell r="F25">
            <v>109.2037</v>
          </cell>
          <cell r="G25">
            <v>95.369099999999989</v>
          </cell>
          <cell r="H25">
            <v>582.95719999999994</v>
          </cell>
          <cell r="I25">
            <v>0</v>
          </cell>
          <cell r="J25">
            <v>79.74130000000001</v>
          </cell>
          <cell r="K25">
            <v>15.014900000000001</v>
          </cell>
        </row>
        <row r="27">
          <cell r="B27">
            <v>1.8176569321523079</v>
          </cell>
          <cell r="C27">
            <v>2.8969434602962667</v>
          </cell>
          <cell r="D27">
            <v>2.8102182946668068</v>
          </cell>
          <cell r="E27">
            <v>2.2274482666950686</v>
          </cell>
          <cell r="F27">
            <v>1.6508365297214678</v>
          </cell>
          <cell r="G27">
            <v>0.36891053130594864</v>
          </cell>
          <cell r="H27">
            <v>0</v>
          </cell>
          <cell r="I27">
            <v>0.74507331255723652</v>
          </cell>
          <cell r="J27">
            <v>0.37349143308923971</v>
          </cell>
          <cell r="K27">
            <v>3.9730430181812424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0.58421917037888438</v>
          </cell>
          <cell r="F28">
            <v>0.78747183272952925</v>
          </cell>
          <cell r="G28">
            <v>1.021426888042698</v>
          </cell>
          <cell r="H28">
            <v>0.67765820426237622</v>
          </cell>
          <cell r="I28">
            <v>0</v>
          </cell>
          <cell r="J28">
            <v>1.1047739078310157</v>
          </cell>
          <cell r="K28">
            <v>0.1260792269493663</v>
          </cell>
        </row>
        <row r="30">
          <cell r="B30">
            <v>0.38339428188510094</v>
          </cell>
        </row>
        <row r="31">
          <cell r="B31">
            <v>0.29165070177691255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0.8773456348360924</v>
          </cell>
          <cell r="G33">
            <v>2.0283351860559997</v>
          </cell>
          <cell r="H33">
            <v>1.0754067356946664</v>
          </cell>
          <cell r="I33">
            <v>0</v>
          </cell>
          <cell r="J33">
            <v>1.3746976251358785</v>
          </cell>
          <cell r="K33">
            <v>0</v>
          </cell>
        </row>
        <row r="34">
          <cell r="I34">
            <v>0.83833565063019189</v>
          </cell>
        </row>
        <row r="38">
          <cell r="B38">
            <v>88.06422770047044</v>
          </cell>
          <cell r="C38">
            <v>573.61819971893476</v>
          </cell>
          <cell r="D38">
            <v>59.486700861506968</v>
          </cell>
          <cell r="E38">
            <v>233.13441407730986</v>
          </cell>
          <cell r="F38">
            <v>277.24706333566292</v>
          </cell>
          <cell r="G38">
            <v>11.57496193579354</v>
          </cell>
          <cell r="H38">
            <v>0</v>
          </cell>
          <cell r="I38">
            <v>36.952175193670989</v>
          </cell>
          <cell r="J38">
            <v>97.335987498777428</v>
          </cell>
          <cell r="K38">
            <v>236.26053722653768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28.388355641678107</v>
          </cell>
          <cell r="F39">
            <v>88.991374363088227</v>
          </cell>
          <cell r="G39">
            <v>96.656503042758558</v>
          </cell>
          <cell r="H39">
            <v>390.45543751304484</v>
          </cell>
          <cell r="I39">
            <v>0</v>
          </cell>
          <cell r="J39">
            <v>85.209125036996568</v>
          </cell>
          <cell r="K39">
            <v>1.8738904947184074</v>
          </cell>
        </row>
        <row r="41">
          <cell r="B41">
            <v>122.71300780296428</v>
          </cell>
          <cell r="C41">
            <v>210.36460852753603</v>
          </cell>
          <cell r="D41">
            <v>58.655491185601598</v>
          </cell>
          <cell r="E41">
            <v>157.39485454229052</v>
          </cell>
          <cell r="F41">
            <v>312.63886716320559</v>
          </cell>
          <cell r="G41">
            <v>56.358959437109839</v>
          </cell>
          <cell r="H41">
            <v>61.086210932753147</v>
          </cell>
          <cell r="I41">
            <v>99.682513290126252</v>
          </cell>
          <cell r="J41">
            <v>283.807617165446</v>
          </cell>
          <cell r="K41">
            <v>96.680536062965913</v>
          </cell>
        </row>
        <row r="42">
          <cell r="B42">
            <v>5.8749959241558845</v>
          </cell>
          <cell r="C42">
            <v>0</v>
          </cell>
          <cell r="D42">
            <v>2.6984942080732443E-2</v>
          </cell>
          <cell r="E42">
            <v>34.846782545395399</v>
          </cell>
          <cell r="F42">
            <v>121.87227148188443</v>
          </cell>
          <cell r="G42">
            <v>58.090675685843543</v>
          </cell>
          <cell r="H42">
            <v>338.29672886656346</v>
          </cell>
          <cell r="I42">
            <v>0.38789543336329374</v>
          </cell>
          <cell r="J42">
            <v>44.835462384164771</v>
          </cell>
          <cell r="K42">
            <v>21.217916783690939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99.836351243791995</v>
          </cell>
          <cell r="G44">
            <v>192.1691198364251</v>
          </cell>
          <cell r="H44">
            <v>619.1845597789079</v>
          </cell>
          <cell r="I44">
            <v>0</v>
          </cell>
          <cell r="J44">
            <v>105.60524715474889</v>
          </cell>
          <cell r="K44">
            <v>0</v>
          </cell>
        </row>
        <row r="45">
          <cell r="B45">
            <v>16.887387894215706</v>
          </cell>
          <cell r="C45">
            <v>0</v>
          </cell>
          <cell r="D45">
            <v>7.7566893680143023E-2</v>
          </cell>
          <cell r="E45">
            <v>100.16536884560114</v>
          </cell>
          <cell r="F45">
            <v>350.31587232283096</v>
          </cell>
          <cell r="G45">
            <v>166.97880066782761</v>
          </cell>
          <cell r="H45">
            <v>972.41736972520698</v>
          </cell>
          <cell r="I45">
            <v>1.1149864153381552</v>
          </cell>
          <cell r="J45">
            <v>128.87733957137942</v>
          </cell>
          <cell r="K45">
            <v>60.989862062731767</v>
          </cell>
        </row>
        <row r="46">
          <cell r="G46">
            <v>0</v>
          </cell>
        </row>
      </sheetData>
      <sheetData sheetId="9">
        <row r="13">
          <cell r="H13">
            <v>744</v>
          </cell>
          <cell r="I13">
            <v>8.4931506849315067E-2</v>
          </cell>
        </row>
        <row r="21">
          <cell r="B21">
            <v>70.675940860215064</v>
          </cell>
          <cell r="C21">
            <v>315.46061827956981</v>
          </cell>
          <cell r="D21">
            <v>31.5</v>
          </cell>
          <cell r="E21">
            <v>159.50725806451609</v>
          </cell>
          <cell r="F21">
            <v>271.0159274193548</v>
          </cell>
          <cell r="G21">
            <v>47.608333333333334</v>
          </cell>
          <cell r="H21">
            <v>0</v>
          </cell>
          <cell r="I21">
            <v>63.666666666666664</v>
          </cell>
          <cell r="J21">
            <v>397.16169354838701</v>
          </cell>
          <cell r="K21">
            <v>88.463104838709683</v>
          </cell>
        </row>
        <row r="22">
          <cell r="B22">
            <v>36.941465053763444</v>
          </cell>
          <cell r="C22">
            <v>0</v>
          </cell>
          <cell r="D22">
            <v>8.4677419354838704E-2</v>
          </cell>
          <cell r="E22">
            <v>75.085215053763434</v>
          </cell>
          <cell r="F22">
            <v>165.56861559139784</v>
          </cell>
          <cell r="G22">
            <v>144.49885752688172</v>
          </cell>
          <cell r="H22">
            <v>879.74993279569867</v>
          </cell>
          <cell r="I22">
            <v>0</v>
          </cell>
          <cell r="J22">
            <v>120.1923387096774</v>
          </cell>
          <cell r="K22">
            <v>22.922043010752688</v>
          </cell>
        </row>
        <row r="24">
          <cell r="B24">
            <v>52.582900000000009</v>
          </cell>
          <cell r="C24">
            <v>234.70269999999996</v>
          </cell>
          <cell r="D24">
            <v>23.436</v>
          </cell>
          <cell r="E24">
            <v>118.67339999999999</v>
          </cell>
          <cell r="F24">
            <v>201.63584999999998</v>
          </cell>
          <cell r="G24">
            <v>35.4206</v>
          </cell>
          <cell r="H24">
            <v>0</v>
          </cell>
          <cell r="I24">
            <v>47.368000000000002</v>
          </cell>
          <cell r="J24">
            <v>295.48829999999992</v>
          </cell>
          <cell r="K24">
            <v>65.816550000000007</v>
          </cell>
        </row>
        <row r="25">
          <cell r="B25">
            <v>27.484450000000002</v>
          </cell>
          <cell r="C25">
            <v>0</v>
          </cell>
          <cell r="D25">
            <v>6.3E-2</v>
          </cell>
          <cell r="E25">
            <v>55.863399999999992</v>
          </cell>
          <cell r="F25">
            <v>123.18304999999999</v>
          </cell>
          <cell r="G25">
            <v>107.50715000000001</v>
          </cell>
          <cell r="H25">
            <v>654.53394999999989</v>
          </cell>
          <cell r="I25">
            <v>0</v>
          </cell>
          <cell r="J25">
            <v>89.423099999999991</v>
          </cell>
          <cell r="K25">
            <v>17.053999999999998</v>
          </cell>
        </row>
        <row r="27">
          <cell r="B27">
            <v>1.7734090020254194</v>
          </cell>
          <cell r="C27">
            <v>2.8355245642284399</v>
          </cell>
          <cell r="D27">
            <v>2.7985252736617094</v>
          </cell>
          <cell r="E27">
            <v>2.1912824141731622</v>
          </cell>
          <cell r="F27">
            <v>1.6331052405664097</v>
          </cell>
          <cell r="G27">
            <v>0.36366413322536117</v>
          </cell>
          <cell r="H27">
            <v>0</v>
          </cell>
          <cell r="I27">
            <v>0.84875591734189959</v>
          </cell>
          <cell r="J27">
            <v>0.36189948179694753</v>
          </cell>
          <cell r="K27">
            <v>3.9022440322159486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0.5805170008043935</v>
          </cell>
          <cell r="F28">
            <v>0.78166093921234758</v>
          </cell>
          <cell r="G28">
            <v>1.0101963619186505</v>
          </cell>
          <cell r="H28">
            <v>0.66866954598861006</v>
          </cell>
          <cell r="I28">
            <v>0</v>
          </cell>
          <cell r="J28">
            <v>1.0661465936128542</v>
          </cell>
          <cell r="K28">
            <v>0.12482009238064483</v>
          </cell>
        </row>
        <row r="30">
          <cell r="B30">
            <v>0.42447224065850458</v>
          </cell>
        </row>
        <row r="31">
          <cell r="B31">
            <v>0.32289899125301036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0.87260955416857322</v>
          </cell>
          <cell r="G33">
            <v>2.009904504428734</v>
          </cell>
          <cell r="H33">
            <v>1.0618022399332927</v>
          </cell>
          <cell r="I33">
            <v>0</v>
          </cell>
          <cell r="J33">
            <v>1.3180949353684477</v>
          </cell>
          <cell r="K33">
            <v>0</v>
          </cell>
        </row>
        <row r="34">
          <cell r="I34">
            <v>0.92815732748342683</v>
          </cell>
        </row>
        <row r="38">
          <cell r="B38">
            <v>94.492548018523323</v>
          </cell>
          <cell r="C38">
            <v>648.42732903880665</v>
          </cell>
          <cell r="D38">
            <v>65.58623831353583</v>
          </cell>
          <cell r="E38">
            <v>254.09789265312207</v>
          </cell>
          <cell r="F38">
            <v>302.67962480680796</v>
          </cell>
          <cell r="G38">
            <v>12.617249418591831</v>
          </cell>
          <cell r="H38">
            <v>0</v>
          </cell>
          <cell r="I38">
            <v>45.783002658165607</v>
          </cell>
          <cell r="J38">
            <v>105.67680698365814</v>
          </cell>
          <cell r="K38">
            <v>257.20724718052463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31.780293863768414</v>
          </cell>
          <cell r="F39">
            <v>99.642648861972518</v>
          </cell>
          <cell r="G39">
            <v>107.78394569195528</v>
          </cell>
          <cell r="H39">
            <v>432.50093578171033</v>
          </cell>
          <cell r="I39">
            <v>0</v>
          </cell>
          <cell r="J39">
            <v>91.85295912688629</v>
          </cell>
          <cell r="K39">
            <v>2.1111905615938573</v>
          </cell>
        </row>
        <row r="41">
          <cell r="B41">
            <v>135.86083006756758</v>
          </cell>
          <cell r="C41">
            <v>232.90367372691489</v>
          </cell>
          <cell r="D41">
            <v>64.940008098344606</v>
          </cell>
          <cell r="E41">
            <v>174.25858895753586</v>
          </cell>
          <cell r="F41">
            <v>346.13588864497757</v>
          </cell>
          <cell r="G41">
            <v>62.397419376800158</v>
          </cell>
          <cell r="H41">
            <v>67.631162104119539</v>
          </cell>
          <cell r="I41">
            <v>110.3627825712112</v>
          </cell>
          <cell r="J41">
            <v>314.21557614745797</v>
          </cell>
          <cell r="K41">
            <v>107.03916492685508</v>
          </cell>
        </row>
        <row r="42">
          <cell r="B42">
            <v>6.5044597731725853</v>
          </cell>
          <cell r="C42">
            <v>0</v>
          </cell>
          <cell r="D42">
            <v>2.9876185875096637E-2</v>
          </cell>
          <cell r="E42">
            <v>38.58036638954492</v>
          </cell>
          <cell r="F42">
            <v>134.93001485494347</v>
          </cell>
          <cell r="G42">
            <v>64.314676652183934</v>
          </cell>
          <cell r="H42">
            <v>374.54280695940946</v>
          </cell>
          <cell r="I42">
            <v>0.42945565836650368</v>
          </cell>
          <cell r="J42">
            <v>49.639261925325293</v>
          </cell>
          <cell r="K42">
            <v>23.491265010514969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111.86828428319839</v>
          </cell>
          <cell r="G44">
            <v>214.57328371549943</v>
          </cell>
          <cell r="H44">
            <v>686.29345757596388</v>
          </cell>
          <cell r="I44">
            <v>0</v>
          </cell>
          <cell r="J44">
            <v>113.00260365498443</v>
          </cell>
          <cell r="K44">
            <v>0</v>
          </cell>
        </row>
        <row r="45">
          <cell r="B45">
            <v>18.696750882881677</v>
          </cell>
          <cell r="C45">
            <v>0</v>
          </cell>
          <cell r="D45">
            <v>8.5877632288729772E-2</v>
          </cell>
          <cell r="E45">
            <v>110.897372650487</v>
          </cell>
          <cell r="F45">
            <v>387.84971578599146</v>
          </cell>
          <cell r="G45">
            <v>184.86938645366627</v>
          </cell>
          <cell r="H45">
            <v>1076.6049450529076</v>
          </cell>
          <cell r="I45">
            <v>1.2344492455529574</v>
          </cell>
          <cell r="J45">
            <v>142.68562595402722</v>
          </cell>
          <cell r="K45">
            <v>67.524490140881582</v>
          </cell>
        </row>
        <row r="46">
          <cell r="G46">
            <v>0</v>
          </cell>
        </row>
      </sheetData>
      <sheetData sheetId="10">
        <row r="13">
          <cell r="H13">
            <v>720</v>
          </cell>
          <cell r="I13">
            <v>8.2191780821917804E-2</v>
          </cell>
        </row>
        <row r="21">
          <cell r="B21">
            <v>70.985833333333332</v>
          </cell>
          <cell r="C21">
            <v>301.69583333333333</v>
          </cell>
          <cell r="D21">
            <v>31.5</v>
          </cell>
          <cell r="E21">
            <v>159.03916666666669</v>
          </cell>
          <cell r="F21">
            <v>271.5025</v>
          </cell>
          <cell r="G21">
            <v>47.608333333333341</v>
          </cell>
          <cell r="H21">
            <v>0</v>
          </cell>
          <cell r="I21">
            <v>56.05833333333333</v>
          </cell>
          <cell r="J21">
            <v>391.96833333333336</v>
          </cell>
          <cell r="K21">
            <v>88.391249999999999</v>
          </cell>
        </row>
        <row r="22">
          <cell r="B22">
            <v>36.571249999999999</v>
          </cell>
          <cell r="C22">
            <v>0</v>
          </cell>
          <cell r="D22">
            <v>7.6250000000000012E-2</v>
          </cell>
          <cell r="E22">
            <v>73.404166666666669</v>
          </cell>
          <cell r="F22">
            <v>161.94083333333333</v>
          </cell>
          <cell r="G22">
            <v>141.44458333333333</v>
          </cell>
          <cell r="H22">
            <v>864.72916666666663</v>
          </cell>
          <cell r="I22">
            <v>0</v>
          </cell>
          <cell r="J22">
            <v>118.33875000000002</v>
          </cell>
          <cell r="K22">
            <v>22.232916666666664</v>
          </cell>
        </row>
        <row r="24">
          <cell r="B24">
            <v>51.109799999999993</v>
          </cell>
          <cell r="C24">
            <v>217.221</v>
          </cell>
          <cell r="D24">
            <v>22.68</v>
          </cell>
          <cell r="E24">
            <v>114.50820000000002</v>
          </cell>
          <cell r="F24">
            <v>195.48179999999999</v>
          </cell>
          <cell r="G24">
            <v>34.278000000000006</v>
          </cell>
          <cell r="H24">
            <v>0</v>
          </cell>
          <cell r="I24">
            <v>40.362000000000002</v>
          </cell>
          <cell r="J24">
            <v>282.21719999999999</v>
          </cell>
          <cell r="K24">
            <v>63.6417</v>
          </cell>
        </row>
        <row r="25">
          <cell r="B25">
            <v>26.331299999999999</v>
          </cell>
          <cell r="C25">
            <v>0</v>
          </cell>
          <cell r="D25">
            <v>5.4900000000000004E-2</v>
          </cell>
          <cell r="E25">
            <v>52.850999999999999</v>
          </cell>
          <cell r="F25">
            <v>116.59739999999999</v>
          </cell>
          <cell r="G25">
            <v>101.84009999999999</v>
          </cell>
          <cell r="H25">
            <v>622.60500000000002</v>
          </cell>
          <cell r="I25">
            <v>0</v>
          </cell>
          <cell r="J25">
            <v>85.203900000000004</v>
          </cell>
          <cell r="K25">
            <v>16.0077</v>
          </cell>
        </row>
        <row r="27">
          <cell r="B27">
            <v>1.8310579016707733</v>
          </cell>
          <cell r="C27">
            <v>2.9140573451748044</v>
          </cell>
          <cell r="D27">
            <v>2.8152762060783139</v>
          </cell>
          <cell r="E27">
            <v>2.2367970379343158</v>
          </cell>
          <cell r="F27">
            <v>1.6581026171227649</v>
          </cell>
          <cell r="G27">
            <v>0.37014966141684363</v>
          </cell>
          <cell r="H27">
            <v>0</v>
          </cell>
          <cell r="I27">
            <v>0.73084003915779339</v>
          </cell>
          <cell r="J27">
            <v>0.37581592123865543</v>
          </cell>
          <cell r="K27">
            <v>3.9912419487979491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0.58464784323477514</v>
          </cell>
          <cell r="F28">
            <v>0.79054520263549977</v>
          </cell>
          <cell r="G28">
            <v>1.0250679711464556</v>
          </cell>
          <cell r="H28">
            <v>0.68005886476215527</v>
          </cell>
          <cell r="I28">
            <v>0</v>
          </cell>
          <cell r="J28">
            <v>1.1100369972204331</v>
          </cell>
          <cell r="K28">
            <v>0.12629840995853164</v>
          </cell>
        </row>
        <row r="30">
          <cell r="B30">
            <v>0.41077958773403672</v>
          </cell>
        </row>
        <row r="31">
          <cell r="B31">
            <v>0.31248289476097774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0.87965030699358682</v>
          </cell>
          <cell r="G33">
            <v>2.0346288433294131</v>
          </cell>
          <cell r="H33">
            <v>1.079181633629696</v>
          </cell>
          <cell r="I33">
            <v>0</v>
          </cell>
          <cell r="J33">
            <v>1.38215014820585</v>
          </cell>
          <cell r="K33">
            <v>0</v>
          </cell>
        </row>
        <row r="34">
          <cell r="I34">
            <v>0.89821676853234855</v>
          </cell>
        </row>
        <row r="38">
          <cell r="B38">
            <v>95.192856801780337</v>
          </cell>
          <cell r="C38">
            <v>609.80877119606123</v>
          </cell>
          <cell r="D38">
            <v>63.850464353856168</v>
          </cell>
          <cell r="E38">
            <v>250.67756097213768</v>
          </cell>
          <cell r="F38">
            <v>298.80203615892054</v>
          </cell>
          <cell r="G38">
            <v>12.446299481668296</v>
          </cell>
          <cell r="H38">
            <v>0</v>
          </cell>
          <cell r="I38">
            <v>38.764879696161124</v>
          </cell>
          <cell r="J38">
            <v>104.84554116519529</v>
          </cell>
          <cell r="K38">
            <v>254.54830540493157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30.334791407423843</v>
          </cell>
          <cell r="F39">
            <v>95.292903655472116</v>
          </cell>
          <cell r="G39">
            <v>103.53454723483723</v>
          </cell>
          <cell r="H39">
            <v>418.34844848959887</v>
          </cell>
          <cell r="I39">
            <v>0</v>
          </cell>
          <cell r="J39">
            <v>91.462265685369431</v>
          </cell>
          <cell r="K39">
            <v>1.9999214833179348</v>
          </cell>
        </row>
        <row r="41">
          <cell r="B41">
            <v>131.47822264603315</v>
          </cell>
          <cell r="C41">
            <v>225.39065199378865</v>
          </cell>
          <cell r="D41">
            <v>62.845169127430289</v>
          </cell>
          <cell r="E41">
            <v>168.63734415245412</v>
          </cell>
          <cell r="F41">
            <v>334.97021481772026</v>
          </cell>
          <cell r="G41">
            <v>60.384599396903397</v>
          </cell>
          <cell r="H41">
            <v>65.44951171366408</v>
          </cell>
          <cell r="I41">
            <v>106.80269281084954</v>
          </cell>
          <cell r="J41">
            <v>304.0795898201207</v>
          </cell>
          <cell r="K41">
            <v>103.58628863889203</v>
          </cell>
        </row>
        <row r="42">
          <cell r="B42">
            <v>6.294638490167018</v>
          </cell>
          <cell r="C42">
            <v>0</v>
          </cell>
          <cell r="D42">
            <v>2.89124379436419E-2</v>
          </cell>
          <cell r="E42">
            <v>37.335838441495071</v>
          </cell>
          <cell r="F42">
            <v>130.57743373059043</v>
          </cell>
          <cell r="G42">
            <v>62.240009663403782</v>
          </cell>
          <cell r="H42">
            <v>362.46078092846074</v>
          </cell>
          <cell r="I42">
            <v>0.41560225003210044</v>
          </cell>
          <cell r="J42">
            <v>48.03799541160511</v>
          </cell>
          <cell r="K42">
            <v>22.733482268240291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106.81965571377631</v>
          </cell>
          <cell r="G44">
            <v>205.77298437960272</v>
          </cell>
          <cell r="H44">
            <v>663.4088813004314</v>
          </cell>
          <cell r="I44">
            <v>0</v>
          </cell>
          <cell r="J44">
            <v>113.42199076391165</v>
          </cell>
          <cell r="K44">
            <v>0</v>
          </cell>
        </row>
        <row r="45">
          <cell r="B45">
            <v>18.093629886659688</v>
          </cell>
          <cell r="C45">
            <v>0</v>
          </cell>
          <cell r="D45">
            <v>8.3107386085867527E-2</v>
          </cell>
          <cell r="E45">
            <v>107.32003804885835</v>
          </cell>
          <cell r="F45">
            <v>375.33843463160463</v>
          </cell>
          <cell r="G45">
            <v>178.90585785838672</v>
          </cell>
          <cell r="H45">
            <v>1041.8757532770076</v>
          </cell>
          <cell r="I45">
            <v>1.1946283021480233</v>
          </cell>
          <cell r="J45">
            <v>138.08286382647796</v>
          </cell>
          <cell r="K45">
            <v>65.346280781498322</v>
          </cell>
        </row>
        <row r="46">
          <cell r="G46">
            <v>0</v>
          </cell>
        </row>
      </sheetData>
      <sheetData sheetId="11">
        <row r="13">
          <cell r="H13">
            <v>744</v>
          </cell>
          <cell r="I13">
            <v>8.493150684931508E-2</v>
          </cell>
        </row>
        <row r="21">
          <cell r="B21">
            <v>159.81162634408602</v>
          </cell>
          <cell r="C21">
            <v>276.44825268817209</v>
          </cell>
          <cell r="D21">
            <v>145.9</v>
          </cell>
          <cell r="E21">
            <v>345.66189516129032</v>
          </cell>
          <cell r="F21">
            <v>85.247311827956977</v>
          </cell>
          <cell r="G21">
            <v>1.5354166666666667</v>
          </cell>
          <cell r="H21">
            <v>2.7057123655913982</v>
          </cell>
          <cell r="I21">
            <v>0</v>
          </cell>
          <cell r="J21">
            <v>100.96639784946237</v>
          </cell>
          <cell r="K21">
            <v>230.15672043010753</v>
          </cell>
        </row>
        <row r="22">
          <cell r="B22">
            <v>33.653293010752684</v>
          </cell>
          <cell r="C22">
            <v>0</v>
          </cell>
          <cell r="D22">
            <v>2.4731182795698928E-2</v>
          </cell>
          <cell r="E22">
            <v>59.258266129032258</v>
          </cell>
          <cell r="F22">
            <v>163.15309139784947</v>
          </cell>
          <cell r="G22">
            <v>142.08736559139783</v>
          </cell>
          <cell r="H22">
            <v>821.03051075268809</v>
          </cell>
          <cell r="I22">
            <v>0</v>
          </cell>
          <cell r="J22">
            <v>111.58340053763442</v>
          </cell>
          <cell r="K22">
            <v>17.635483870967743</v>
          </cell>
        </row>
        <row r="24">
          <cell r="B24">
            <v>118.89985</v>
          </cell>
          <cell r="C24">
            <v>205.67750000000004</v>
          </cell>
          <cell r="D24">
            <v>108.54960000000001</v>
          </cell>
          <cell r="E24">
            <v>257.17245000000003</v>
          </cell>
          <cell r="F24">
            <v>63.423999999999992</v>
          </cell>
          <cell r="G24">
            <v>1.14235</v>
          </cell>
          <cell r="H24">
            <v>2.0130500000000002</v>
          </cell>
          <cell r="I24">
            <v>0</v>
          </cell>
          <cell r="J24">
            <v>75.119</v>
          </cell>
          <cell r="K24">
            <v>171.23660000000001</v>
          </cell>
        </row>
        <row r="25">
          <cell r="B25">
            <v>25.038049999999998</v>
          </cell>
          <cell r="C25">
            <v>0</v>
          </cell>
          <cell r="D25">
            <v>1.8400000000000003E-2</v>
          </cell>
          <cell r="E25">
            <v>44.088149999999999</v>
          </cell>
          <cell r="F25">
            <v>121.38589999999999</v>
          </cell>
          <cell r="G25">
            <v>105.71299999999998</v>
          </cell>
          <cell r="H25">
            <v>610.84669999999994</v>
          </cell>
          <cell r="I25">
            <v>0</v>
          </cell>
          <cell r="J25">
            <v>83.018050000000002</v>
          </cell>
          <cell r="K25">
            <v>13.120800000000001</v>
          </cell>
        </row>
        <row r="27">
          <cell r="B27">
            <v>1.7113621959986622</v>
          </cell>
          <cell r="C27">
            <v>1.8745357856640996</v>
          </cell>
          <cell r="D27">
            <v>1.8893549918941468</v>
          </cell>
          <cell r="E27">
            <v>1.5719736765465606</v>
          </cell>
          <cell r="F27">
            <v>0.57439407373615414</v>
          </cell>
          <cell r="G27">
            <v>4.4017425434709476E-2</v>
          </cell>
          <cell r="H27">
            <v>0.10717246231600829</v>
          </cell>
          <cell r="I27">
            <v>0</v>
          </cell>
          <cell r="J27">
            <v>0.2755001918904425</v>
          </cell>
          <cell r="K27">
            <v>2.5972471348630073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0.17692655718171171</v>
          </cell>
          <cell r="F28">
            <v>0.43410513462124156</v>
          </cell>
          <cell r="G28">
            <v>0.76402833248506408</v>
          </cell>
          <cell r="H28">
            <v>0.90231804630865398</v>
          </cell>
          <cell r="I28">
            <v>0</v>
          </cell>
          <cell r="J28">
            <v>0.69778818423291555</v>
          </cell>
          <cell r="K28">
            <v>2.6857274466127793E-2</v>
          </cell>
        </row>
        <row r="30">
          <cell r="B30">
            <v>0.44227038228205368</v>
          </cell>
        </row>
        <row r="31">
          <cell r="B31">
            <v>0.3364381616060742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0.43657180017480945</v>
          </cell>
          <cell r="G33">
            <v>1.3879743183514603</v>
          </cell>
          <cell r="H33">
            <v>1.4295444643278277</v>
          </cell>
          <cell r="I33">
            <v>0</v>
          </cell>
          <cell r="J33">
            <v>0.91206261233280417</v>
          </cell>
          <cell r="K33">
            <v>0</v>
          </cell>
        </row>
        <row r="34">
          <cell r="I34">
            <v>0.92815732748342694</v>
          </cell>
        </row>
        <row r="38">
          <cell r="B38">
            <v>202.8409011276942</v>
          </cell>
          <cell r="C38">
            <v>382.81681232372239</v>
          </cell>
          <cell r="D38">
            <v>205.08872862811288</v>
          </cell>
          <cell r="E38">
            <v>403.18280281255335</v>
          </cell>
          <cell r="F38">
            <v>51.522146492155059</v>
          </cell>
          <cell r="G38">
            <v>0.21941806230693983</v>
          </cell>
          <cell r="H38">
            <v>0.40459612022524327</v>
          </cell>
          <cell r="I38">
            <v>0</v>
          </cell>
          <cell r="J38">
            <v>33.645623052329739</v>
          </cell>
          <cell r="K38">
            <v>439.09864032542862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7.6501094368018938</v>
          </cell>
          <cell r="F39">
            <v>53.767742322804182</v>
          </cell>
          <cell r="G39">
            <v>80.233464313667014</v>
          </cell>
          <cell r="H39">
            <v>542.69073614856052</v>
          </cell>
          <cell r="I39">
            <v>0</v>
          </cell>
          <cell r="J39">
            <v>51.941931818459778</v>
          </cell>
          <cell r="K39">
            <v>0.353016935933197</v>
          </cell>
        </row>
        <row r="41">
          <cell r="B41">
            <v>141.55748125701695</v>
          </cell>
          <cell r="C41">
            <v>242.66933605434008</v>
          </cell>
          <cell r="D41">
            <v>67.662945785331388</v>
          </cell>
          <cell r="E41">
            <v>181.56526003825147</v>
          </cell>
          <cell r="F41">
            <v>360.64938323190074</v>
          </cell>
          <cell r="G41">
            <v>65.013746195461877</v>
          </cell>
          <cell r="H41">
            <v>70.466940008999615</v>
          </cell>
          <cell r="I41">
            <v>114.99029939333394</v>
          </cell>
          <cell r="J41">
            <v>327.39065048429023</v>
          </cell>
          <cell r="K41">
            <v>111.52732230006545</v>
          </cell>
        </row>
        <row r="42">
          <cell r="B42">
            <v>6.7771920867109392</v>
          </cell>
          <cell r="C42">
            <v>0</v>
          </cell>
          <cell r="D42">
            <v>3.1128895796837405E-2</v>
          </cell>
          <cell r="E42">
            <v>40.198043022118775</v>
          </cell>
          <cell r="F42">
            <v>140.58763691741402</v>
          </cell>
          <cell r="G42">
            <v>67.011394161325455</v>
          </cell>
          <cell r="H42">
            <v>390.24740500804421</v>
          </cell>
          <cell r="I42">
            <v>0.44746275493607862</v>
          </cell>
          <cell r="J42">
            <v>51.720638583701778</v>
          </cell>
          <cell r="K42">
            <v>24.476254890948248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54.327914137846186</v>
          </cell>
          <cell r="G44">
            <v>145.89611532318204</v>
          </cell>
          <cell r="H44">
            <v>859.11714291067187</v>
          </cell>
          <cell r="I44">
            <v>0</v>
          </cell>
          <cell r="J44">
            <v>66.396456857945907</v>
          </cell>
          <cell r="K44">
            <v>0</v>
          </cell>
        </row>
        <row r="45">
          <cell r="B45">
            <v>18.69675088288168</v>
          </cell>
          <cell r="C45">
            <v>0</v>
          </cell>
          <cell r="D45">
            <v>8.5877632288729785E-2</v>
          </cell>
          <cell r="E45">
            <v>110.89737265048703</v>
          </cell>
          <cell r="F45">
            <v>387.84971578599146</v>
          </cell>
          <cell r="G45">
            <v>184.86938645366632</v>
          </cell>
          <cell r="H45">
            <v>1076.6049450529079</v>
          </cell>
          <cell r="I45">
            <v>1.2344492455529579</v>
          </cell>
          <cell r="J45">
            <v>142.68562595402724</v>
          </cell>
          <cell r="K45">
            <v>67.524490140881596</v>
          </cell>
        </row>
        <row r="46">
          <cell r="G46">
            <v>0</v>
          </cell>
        </row>
      </sheetData>
      <sheetData sheetId="12">
        <row r="13">
          <cell r="H13">
            <v>720</v>
          </cell>
          <cell r="I13">
            <v>8.2191780821917804E-2</v>
          </cell>
        </row>
        <row r="21">
          <cell r="B21">
            <v>160.2501388888889</v>
          </cell>
          <cell r="C21">
            <v>277.06194444444452</v>
          </cell>
          <cell r="D21">
            <v>145.9</v>
          </cell>
          <cell r="E21">
            <v>345.85944444444448</v>
          </cell>
          <cell r="F21">
            <v>85.22208333333333</v>
          </cell>
          <cell r="G21">
            <v>1.5354166666666667</v>
          </cell>
          <cell r="H21">
            <v>2.7340277777777779</v>
          </cell>
          <cell r="I21">
            <v>0</v>
          </cell>
          <cell r="J21">
            <v>104.06930555555554</v>
          </cell>
          <cell r="K21">
            <v>231.92333333333335</v>
          </cell>
        </row>
        <row r="22">
          <cell r="B22">
            <v>33.707500000000003</v>
          </cell>
          <cell r="C22">
            <v>0</v>
          </cell>
          <cell r="D22">
            <v>2.4583333333333339E-2</v>
          </cell>
          <cell r="E22">
            <v>59.657499999999999</v>
          </cell>
          <cell r="F22">
            <v>163.88916666666665</v>
          </cell>
          <cell r="G22">
            <v>142.76777777777775</v>
          </cell>
          <cell r="H22">
            <v>824.84027777777794</v>
          </cell>
          <cell r="I22">
            <v>0</v>
          </cell>
          <cell r="J22">
            <v>111.93916666666664</v>
          </cell>
          <cell r="K22">
            <v>17.709444444444447</v>
          </cell>
        </row>
        <row r="24">
          <cell r="B24">
            <v>115.3801</v>
          </cell>
          <cell r="C24">
            <v>199.48460000000003</v>
          </cell>
          <cell r="D24">
            <v>105.048</v>
          </cell>
          <cell r="E24">
            <v>249.01880000000003</v>
          </cell>
          <cell r="F24">
            <v>61.359899999999996</v>
          </cell>
          <cell r="G24">
            <v>1.1054999999999999</v>
          </cell>
          <cell r="H24">
            <v>1.9685000000000001</v>
          </cell>
          <cell r="I24">
            <v>0</v>
          </cell>
          <cell r="J24">
            <v>74.929899999999989</v>
          </cell>
          <cell r="K24">
            <v>166.98480000000001</v>
          </cell>
        </row>
        <row r="25">
          <cell r="B25">
            <v>24.269400000000001</v>
          </cell>
          <cell r="C25">
            <v>0</v>
          </cell>
          <cell r="D25">
            <v>1.7700000000000004E-2</v>
          </cell>
          <cell r="E25">
            <v>42.953400000000002</v>
          </cell>
          <cell r="F25">
            <v>118.00019999999999</v>
          </cell>
          <cell r="G25">
            <v>102.79279999999997</v>
          </cell>
          <cell r="H25">
            <v>593.8850000000001</v>
          </cell>
          <cell r="I25">
            <v>0</v>
          </cell>
          <cell r="J25">
            <v>80.596199999999982</v>
          </cell>
          <cell r="K25">
            <v>12.750800000000002</v>
          </cell>
        </row>
        <row r="27">
          <cell r="B27">
            <v>1.7062834899274928</v>
          </cell>
          <cell r="C27">
            <v>1.86896070102912</v>
          </cell>
          <cell r="D27">
            <v>1.8789186647678453</v>
          </cell>
          <cell r="E27">
            <v>1.5671322738569642</v>
          </cell>
          <cell r="F27">
            <v>0.5726644556896735</v>
          </cell>
          <cell r="G27">
            <v>4.2801890355987825E-2</v>
          </cell>
          <cell r="H27">
            <v>0.10884257413748111</v>
          </cell>
          <cell r="I27">
            <v>0</v>
          </cell>
          <cell r="J27">
            <v>0.28468353162012394</v>
          </cell>
          <cell r="K27">
            <v>2.5804196679396019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0.17807185543417639</v>
          </cell>
          <cell r="F28">
            <v>0.43431408826145967</v>
          </cell>
          <cell r="G28">
            <v>0.76222859879546101</v>
          </cell>
          <cell r="H28">
            <v>0.89987484148166286</v>
          </cell>
          <cell r="I28">
            <v>0</v>
          </cell>
          <cell r="J28">
            <v>0.67776292956906981</v>
          </cell>
          <cell r="K28">
            <v>2.6600610514487727E-2</v>
          </cell>
        </row>
        <row r="30">
          <cell r="B30">
            <v>0.42800359575682612</v>
          </cell>
        </row>
        <row r="31">
          <cell r="B31">
            <v>0.32558531768329763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0.4370515536501956</v>
          </cell>
          <cell r="G33">
            <v>1.3853620987306547</v>
          </cell>
          <cell r="H33">
            <v>1.4262703373892121</v>
          </cell>
          <cell r="I33">
            <v>0</v>
          </cell>
          <cell r="J33">
            <v>0.87886473460686232</v>
          </cell>
          <cell r="K33">
            <v>0</v>
          </cell>
        </row>
        <row r="34">
          <cell r="I34">
            <v>0.89821676853234866</v>
          </cell>
        </row>
        <row r="38">
          <cell r="B38">
            <v>196.34208429657164</v>
          </cell>
          <cell r="C38">
            <v>370.25355996263511</v>
          </cell>
          <cell r="D38">
            <v>197.37664789653266</v>
          </cell>
          <cell r="E38">
            <v>389.17675256199982</v>
          </cell>
          <cell r="F38">
            <v>49.685807025909327</v>
          </cell>
          <cell r="G38">
            <v>0.20647631907728531</v>
          </cell>
          <cell r="H38">
            <v>0.39350188569384076</v>
          </cell>
          <cell r="I38">
            <v>0</v>
          </cell>
          <cell r="J38">
            <v>33.645623052329739</v>
          </cell>
          <cell r="K38">
            <v>426.29342017137498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7.4893826574450362</v>
          </cell>
          <cell r="F39">
            <v>52.254577262541424</v>
          </cell>
          <cell r="G39">
            <v>77.850388905368334</v>
          </cell>
          <cell r="H39">
            <v>526.14280336256115</v>
          </cell>
          <cell r="I39">
            <v>0</v>
          </cell>
          <cell r="J39">
            <v>48.797027859424247</v>
          </cell>
          <cell r="K39">
            <v>0.34033702642740282</v>
          </cell>
        </row>
        <row r="41">
          <cell r="B41">
            <v>136.99111089388737</v>
          </cell>
          <cell r="C41">
            <v>234.841292955813</v>
          </cell>
          <cell r="D41">
            <v>65.480270114836827</v>
          </cell>
          <cell r="E41">
            <v>175.70831616604977</v>
          </cell>
          <cell r="F41">
            <v>349.0155321599039</v>
          </cell>
          <cell r="G41">
            <v>62.916528576253441</v>
          </cell>
          <cell r="H41">
            <v>68.193812911935112</v>
          </cell>
          <cell r="I41">
            <v>111.2809348967748</v>
          </cell>
          <cell r="J41">
            <v>316.8296617589906</v>
          </cell>
          <cell r="K41">
            <v>107.92966674199883</v>
          </cell>
        </row>
        <row r="42">
          <cell r="B42">
            <v>6.5585729871396188</v>
          </cell>
          <cell r="C42">
            <v>0</v>
          </cell>
          <cell r="D42">
            <v>3.0124737867907168E-2</v>
          </cell>
          <cell r="E42">
            <v>38.90133195688913</v>
          </cell>
          <cell r="F42">
            <v>136.05255185556194</v>
          </cell>
          <cell r="G42">
            <v>64.849736285153682</v>
          </cell>
          <cell r="H42">
            <v>377.65877904004276</v>
          </cell>
          <cell r="I42">
            <v>0.43302847251878573</v>
          </cell>
          <cell r="J42">
            <v>50.052230887453334</v>
          </cell>
          <cell r="K42">
            <v>23.686698281562819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52.812749033215738</v>
          </cell>
          <cell r="G44">
            <v>141.61543739419784</v>
          </cell>
          <cell r="H44">
            <v>833.21836263646014</v>
          </cell>
          <cell r="I44">
            <v>0</v>
          </cell>
          <cell r="J44">
            <v>61.776963093848167</v>
          </cell>
          <cell r="K44">
            <v>0</v>
          </cell>
        </row>
        <row r="45">
          <cell r="B45">
            <v>18.093629886659691</v>
          </cell>
          <cell r="C45">
            <v>0</v>
          </cell>
          <cell r="D45">
            <v>8.3107386085867541E-2</v>
          </cell>
          <cell r="E45">
            <v>107.32003804885839</v>
          </cell>
          <cell r="F45">
            <v>375.33843463160463</v>
          </cell>
          <cell r="G45">
            <v>178.90585785838672</v>
          </cell>
          <cell r="H45">
            <v>1041.8757532770073</v>
          </cell>
          <cell r="I45">
            <v>1.1946283021480235</v>
          </cell>
          <cell r="J45">
            <v>138.08286382647796</v>
          </cell>
          <cell r="K45">
            <v>65.346280781498322</v>
          </cell>
        </row>
        <row r="46">
          <cell r="G46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M01"/>
      <sheetName val="M02"/>
      <sheetName val="M03"/>
      <sheetName val="M04"/>
      <sheetName val="M05"/>
      <sheetName val="M06"/>
      <sheetName val="M07"/>
      <sheetName val="M08"/>
      <sheetName val="M09"/>
      <sheetName val="M10"/>
      <sheetName val="M11"/>
      <sheetName val="M12"/>
    </sheetNames>
    <sheetDataSet>
      <sheetData sheetId="0"/>
      <sheetData sheetId="1">
        <row r="13">
          <cell r="H13">
            <v>744</v>
          </cell>
          <cell r="I13">
            <v>8.493150684931508E-2</v>
          </cell>
        </row>
        <row r="21">
          <cell r="B21">
            <v>213.62594086021508</v>
          </cell>
          <cell r="C21">
            <v>463.50087365591395</v>
          </cell>
          <cell r="D21">
            <v>145.9</v>
          </cell>
          <cell r="E21">
            <v>320.34180107526879</v>
          </cell>
          <cell r="F21">
            <v>96.852956989247318</v>
          </cell>
          <cell r="G21">
            <v>1.5354166666666667</v>
          </cell>
          <cell r="H21">
            <v>0</v>
          </cell>
          <cell r="I21">
            <v>36.216061827956985</v>
          </cell>
          <cell r="J21">
            <v>20.033870967741933</v>
          </cell>
          <cell r="K21">
            <v>237.98461021505375</v>
          </cell>
        </row>
        <row r="22">
          <cell r="B22">
            <v>4.8821236559139782</v>
          </cell>
          <cell r="C22">
            <v>0</v>
          </cell>
          <cell r="D22">
            <v>8.0846774193548396E-2</v>
          </cell>
          <cell r="E22">
            <v>71.248521505376345</v>
          </cell>
          <cell r="F22">
            <v>180.15127688172046</v>
          </cell>
          <cell r="G22">
            <v>111.8872311827957</v>
          </cell>
          <cell r="H22">
            <v>979.33077956989246</v>
          </cell>
          <cell r="I22">
            <v>0</v>
          </cell>
          <cell r="J22">
            <v>148.05604838709678</v>
          </cell>
          <cell r="K22">
            <v>24.639381720430109</v>
          </cell>
        </row>
        <row r="24">
          <cell r="B24">
            <v>158.93770000000001</v>
          </cell>
          <cell r="C24">
            <v>344.84464999999994</v>
          </cell>
          <cell r="D24">
            <v>108.54960000000001</v>
          </cell>
          <cell r="E24">
            <v>238.33429999999998</v>
          </cell>
          <cell r="F24">
            <v>72.058600000000013</v>
          </cell>
          <cell r="G24">
            <v>1.14235</v>
          </cell>
          <cell r="H24">
            <v>0</v>
          </cell>
          <cell r="I24">
            <v>26.944749999999996</v>
          </cell>
          <cell r="J24">
            <v>14.905199999999999</v>
          </cell>
          <cell r="K24">
            <v>177.06054999999998</v>
          </cell>
        </row>
        <row r="25">
          <cell r="B25">
            <v>3.6322999999999999</v>
          </cell>
          <cell r="C25">
            <v>0</v>
          </cell>
          <cell r="D25">
            <v>6.0150000000000009E-2</v>
          </cell>
          <cell r="E25">
            <v>53.008900000000004</v>
          </cell>
          <cell r="F25">
            <v>134.03255000000001</v>
          </cell>
          <cell r="G25">
            <v>83.244100000000003</v>
          </cell>
          <cell r="H25">
            <v>728.62209999999993</v>
          </cell>
          <cell r="I25">
            <v>0</v>
          </cell>
          <cell r="J25">
            <v>110.1537</v>
          </cell>
          <cell r="K25">
            <v>18.331700000000001</v>
          </cell>
        </row>
        <row r="27">
          <cell r="B27">
            <v>1.2598597601720647</v>
          </cell>
          <cell r="C27">
            <v>1.2016860993045357</v>
          </cell>
          <cell r="D27">
            <v>2.0501267312546534</v>
          </cell>
          <cell r="E27">
            <v>1.1933481568491218</v>
          </cell>
          <cell r="F27">
            <v>0.36749119998336316</v>
          </cell>
          <cell r="G27">
            <v>0.29286391675702445</v>
          </cell>
          <cell r="H27">
            <v>0</v>
          </cell>
          <cell r="I27">
            <v>8.5871805611344457E-2</v>
          </cell>
          <cell r="J27">
            <v>0.93792790548065874</v>
          </cell>
          <cell r="K27">
            <v>1.0785328987673863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0.23851083790970212</v>
          </cell>
          <cell r="F28">
            <v>0.29616928356007088</v>
          </cell>
          <cell r="G28">
            <v>0.4236130499448163</v>
          </cell>
          <cell r="H28">
            <v>0.71322297160482317</v>
          </cell>
          <cell r="I28">
            <v>0</v>
          </cell>
          <cell r="J28">
            <v>3.8008993377990366E-2</v>
          </cell>
          <cell r="K28">
            <v>0</v>
          </cell>
        </row>
        <row r="30">
          <cell r="B30">
            <v>0.51430257214869557</v>
          </cell>
        </row>
        <row r="31">
          <cell r="B31">
            <v>0.38321167370392001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0.48781309023895153</v>
          </cell>
          <cell r="H33">
            <v>1.1504418952013942</v>
          </cell>
          <cell r="I33">
            <v>0</v>
          </cell>
          <cell r="J33">
            <v>2.794875622836859E-2</v>
          </cell>
          <cell r="K33">
            <v>0</v>
          </cell>
        </row>
        <row r="34">
          <cell r="I34">
            <v>1.0084829544968814</v>
          </cell>
        </row>
        <row r="38">
          <cell r="B38">
            <v>200.03444143381381</v>
          </cell>
          <cell r="C38">
            <v>410.55075521893883</v>
          </cell>
          <cell r="D38">
            <v>222.5404366270001</v>
          </cell>
          <cell r="E38">
            <v>282.10350766995145</v>
          </cell>
          <cell r="F38">
            <v>37.553338425619444</v>
          </cell>
          <cell r="G38">
            <v>1.4598680522504157</v>
          </cell>
          <cell r="H38">
            <v>0</v>
          </cell>
          <cell r="I38">
            <v>7.4107221110824471</v>
          </cell>
          <cell r="J38">
            <v>13.585039384131983</v>
          </cell>
          <cell r="K38">
            <v>190.92149822517271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12.265748210103281</v>
          </cell>
          <cell r="F39">
            <v>40.200116347121693</v>
          </cell>
          <cell r="G39">
            <v>35.040125669217772</v>
          </cell>
          <cell r="H39">
            <v>501.85489801954839</v>
          </cell>
          <cell r="I39">
            <v>0</v>
          </cell>
          <cell r="J39">
            <v>3.9965277815265381</v>
          </cell>
          <cell r="K39">
            <v>0</v>
          </cell>
        </row>
        <row r="41">
          <cell r="B41">
            <v>164.61282426763302</v>
          </cell>
          <cell r="C41">
            <v>282.19267831226784</v>
          </cell>
          <cell r="D41">
            <v>78.68315051302892</v>
          </cell>
          <cell r="E41">
            <v>211.13663494420402</v>
          </cell>
          <cell r="F41">
            <v>419.3880324586537</v>
          </cell>
          <cell r="G41">
            <v>75.602478105858253</v>
          </cell>
          <cell r="H41">
            <v>81.943828820451685</v>
          </cell>
          <cell r="I41">
            <v>133.71866875866087</v>
          </cell>
          <cell r="J41">
            <v>380.71247903307187</v>
          </cell>
          <cell r="K41">
            <v>129.69167961873657</v>
          </cell>
        </row>
        <row r="42">
          <cell r="B42">
            <v>7.9551887163126782</v>
          </cell>
          <cell r="C42">
            <v>0</v>
          </cell>
          <cell r="D42">
            <v>3.6540799732421768E-2</v>
          </cell>
          <cell r="E42">
            <v>47.056543466014233</v>
          </cell>
          <cell r="F42">
            <v>161.64147247333406</v>
          </cell>
          <cell r="G42">
            <v>77.99911529786533</v>
          </cell>
          <cell r="H42">
            <v>446.99114221392369</v>
          </cell>
          <cell r="I42">
            <v>0.51733575950029198</v>
          </cell>
          <cell r="J42">
            <v>60.214050289096939</v>
          </cell>
          <cell r="K42">
            <v>28.734935805500548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40.282521239311919</v>
          </cell>
          <cell r="H44">
            <v>806.07399835086176</v>
          </cell>
          <cell r="I44">
            <v>0</v>
          </cell>
          <cell r="J44">
            <v>2.9424080608746266</v>
          </cell>
          <cell r="K44">
            <v>0</v>
          </cell>
        </row>
        <row r="45">
          <cell r="B45">
            <v>20.935354454796187</v>
          </cell>
          <cell r="C45">
            <v>0</v>
          </cell>
          <cell r="D45">
            <v>9.6162972588104148E-2</v>
          </cell>
          <cell r="E45">
            <v>123.83683807002856</v>
          </cell>
          <cell r="F45">
            <v>425.38544860478964</v>
          </cell>
          <cell r="G45">
            <v>205.26717644961315</v>
          </cell>
          <cell r="H45">
            <v>1176.3288507805767</v>
          </cell>
          <cell r="I45">
            <v>1.3614519885707903</v>
          </cell>
          <cell r="J45">
            <v>158.46292664009499</v>
          </cell>
          <cell r="K45">
            <v>75.620590255815557</v>
          </cell>
        </row>
        <row r="46">
          <cell r="G46">
            <v>0</v>
          </cell>
        </row>
      </sheetData>
      <sheetData sheetId="2">
        <row r="13">
          <cell r="H13">
            <v>744</v>
          </cell>
          <cell r="I13">
            <v>8.4931506849315067E-2</v>
          </cell>
        </row>
        <row r="21">
          <cell r="B21">
            <v>213.52836021505382</v>
          </cell>
          <cell r="C21">
            <v>470.42997311827958</v>
          </cell>
          <cell r="D21">
            <v>145.9</v>
          </cell>
          <cell r="E21">
            <v>320.7506720430107</v>
          </cell>
          <cell r="F21">
            <v>96.819690860215061</v>
          </cell>
          <cell r="G21">
            <v>1.5354166666666669</v>
          </cell>
          <cell r="H21">
            <v>0</v>
          </cell>
          <cell r="I21">
            <v>37.701948924731184</v>
          </cell>
          <cell r="J21">
            <v>20.179838709677419</v>
          </cell>
          <cell r="K21">
            <v>238.07634408602146</v>
          </cell>
        </row>
        <row r="22">
          <cell r="B22">
            <v>4.8934139784946238</v>
          </cell>
          <cell r="C22">
            <v>0</v>
          </cell>
          <cell r="D22">
            <v>8.3131720430107525E-2</v>
          </cell>
          <cell r="E22">
            <v>71.747782258064518</v>
          </cell>
          <cell r="F22">
            <v>181.43044354838713</v>
          </cell>
          <cell r="G22">
            <v>112.59778225806451</v>
          </cell>
          <cell r="H22">
            <v>985.52641129032247</v>
          </cell>
          <cell r="I22">
            <v>0</v>
          </cell>
          <cell r="J22">
            <v>148.88918010752687</v>
          </cell>
          <cell r="K22">
            <v>24.851680107526885</v>
          </cell>
        </row>
        <row r="24">
          <cell r="B24">
            <v>158.86510000000004</v>
          </cell>
          <cell r="C24">
            <v>349.99990000000003</v>
          </cell>
          <cell r="D24">
            <v>108.54960000000001</v>
          </cell>
          <cell r="E24">
            <v>238.63849999999996</v>
          </cell>
          <cell r="F24">
            <v>72.033850000000001</v>
          </cell>
          <cell r="G24">
            <v>1.1423500000000002</v>
          </cell>
          <cell r="H24">
            <v>0</v>
          </cell>
          <cell r="I24">
            <v>28.050249999999998</v>
          </cell>
          <cell r="J24">
            <v>15.0138</v>
          </cell>
          <cell r="K24">
            <v>177.12879999999996</v>
          </cell>
        </row>
        <row r="25">
          <cell r="B25">
            <v>3.6406999999999998</v>
          </cell>
          <cell r="C25">
            <v>0</v>
          </cell>
          <cell r="D25">
            <v>6.1850000000000002E-2</v>
          </cell>
          <cell r="E25">
            <v>53.380350000000007</v>
          </cell>
          <cell r="F25">
            <v>134.98425000000003</v>
          </cell>
          <cell r="G25">
            <v>83.772750000000002</v>
          </cell>
          <cell r="H25">
            <v>733.23164999999995</v>
          </cell>
          <cell r="I25">
            <v>0</v>
          </cell>
          <cell r="J25">
            <v>110.77354999999999</v>
          </cell>
          <cell r="K25">
            <v>18.489650000000001</v>
          </cell>
        </row>
        <row r="27">
          <cell r="B27">
            <v>1.2534008540135229</v>
          </cell>
          <cell r="C27">
            <v>1.1961393616079405</v>
          </cell>
          <cell r="D27">
            <v>2.0411459805665024</v>
          </cell>
          <cell r="E27">
            <v>1.1884963346473982</v>
          </cell>
          <cell r="F27">
            <v>0.35431228954253147</v>
          </cell>
          <cell r="G27">
            <v>0.29120855240701549</v>
          </cell>
          <cell r="H27">
            <v>0</v>
          </cell>
          <cell r="I27">
            <v>8.7592202117329224E-2</v>
          </cell>
          <cell r="J27">
            <v>0.93243555992931126</v>
          </cell>
          <cell r="K27">
            <v>1.0724518667792782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0.23836410095889474</v>
          </cell>
          <cell r="F28">
            <v>0.29675819586533442</v>
          </cell>
          <cell r="G28">
            <v>0.42032561864158752</v>
          </cell>
          <cell r="H28">
            <v>0.70829008177407538</v>
          </cell>
          <cell r="I28">
            <v>0</v>
          </cell>
          <cell r="J28">
            <v>3.7352139121022712E-2</v>
          </cell>
          <cell r="K28">
            <v>0</v>
          </cell>
        </row>
        <row r="30">
          <cell r="B30">
            <v>0.51434891542571815</v>
          </cell>
        </row>
        <row r="31">
          <cell r="B31">
            <v>0.38319404136349938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0.4846105434437239</v>
          </cell>
          <cell r="H33">
            <v>1.143411856532585</v>
          </cell>
          <cell r="I33">
            <v>0</v>
          </cell>
          <cell r="J33">
            <v>2.7629056483106415E-2</v>
          </cell>
          <cell r="K33">
            <v>0</v>
          </cell>
        </row>
        <row r="34">
          <cell r="I34">
            <v>1.0084829544968814</v>
          </cell>
        </row>
        <row r="38">
          <cell r="B38">
            <v>198.89213829692287</v>
          </cell>
          <cell r="C38">
            <v>415.35392190713918</v>
          </cell>
          <cell r="D38">
            <v>221.56557973210164</v>
          </cell>
          <cell r="E38">
            <v>281.31054044318023</v>
          </cell>
          <cell r="F38">
            <v>36.213553494053926</v>
          </cell>
          <cell r="G38">
            <v>1.451616392038491</v>
          </cell>
          <cell r="H38">
            <v>0</v>
          </cell>
          <cell r="I38">
            <v>7.6679970861734343</v>
          </cell>
          <cell r="J38">
            <v>13.599809484232001</v>
          </cell>
          <cell r="K38">
            <v>189.9280455549987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12.335688914956034</v>
          </cell>
          <cell r="F39">
            <v>40.548975880086417</v>
          </cell>
          <cell r="G39">
            <v>35.028676070619028</v>
          </cell>
          <cell r="H39">
            <v>501.53032927858976</v>
          </cell>
          <cell r="I39">
            <v>0</v>
          </cell>
          <cell r="J39">
            <v>3.9519885985703045</v>
          </cell>
          <cell r="K39">
            <v>0</v>
          </cell>
        </row>
        <row r="41">
          <cell r="B41">
            <v>164.6276573603096</v>
          </cell>
          <cell r="C41">
            <v>282.21810640493726</v>
          </cell>
          <cell r="D41">
            <v>78.690240570980635</v>
          </cell>
          <cell r="E41">
            <v>211.15566024972009</v>
          </cell>
          <cell r="F41">
            <v>419.42582308390178</v>
          </cell>
          <cell r="G41">
            <v>75.609290567580572</v>
          </cell>
          <cell r="H41">
            <v>81.951212694779684</v>
          </cell>
          <cell r="I41">
            <v>133.73071801068673</v>
          </cell>
          <cell r="J41">
            <v>380.74678464388779</v>
          </cell>
          <cell r="K41">
            <v>129.70336600290332</v>
          </cell>
        </row>
        <row r="42">
          <cell r="B42">
            <v>7.9548226820679488</v>
          </cell>
          <cell r="C42">
            <v>0</v>
          </cell>
          <cell r="D42">
            <v>3.653911841667818E-2</v>
          </cell>
          <cell r="E42">
            <v>47.054378299735788</v>
          </cell>
          <cell r="F42">
            <v>161.63403502383991</v>
          </cell>
          <cell r="G42">
            <v>77.995526401576882</v>
          </cell>
          <cell r="H42">
            <v>446.97057525178411</v>
          </cell>
          <cell r="I42">
            <v>0.5173119558407242</v>
          </cell>
          <cell r="J42">
            <v>60.211279719446651</v>
          </cell>
          <cell r="K42">
            <v>28.733613653267582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40.295757455886417</v>
          </cell>
          <cell r="H44">
            <v>806.07856057235188</v>
          </cell>
          <cell r="I44">
            <v>0</v>
          </cell>
          <cell r="J44">
            <v>2.9246096228102236</v>
          </cell>
          <cell r="K44">
            <v>0</v>
          </cell>
        </row>
        <row r="45">
          <cell r="B45">
            <v>20.93535445479619</v>
          </cell>
          <cell r="C45">
            <v>0</v>
          </cell>
          <cell r="D45">
            <v>9.6162972588104134E-2</v>
          </cell>
          <cell r="E45">
            <v>123.83683807002858</v>
          </cell>
          <cell r="F45">
            <v>425.38544860478964</v>
          </cell>
          <cell r="G45">
            <v>205.26717644961315</v>
          </cell>
          <cell r="H45">
            <v>1176.3288507805767</v>
          </cell>
          <cell r="I45">
            <v>1.3614519885707903</v>
          </cell>
          <cell r="J45">
            <v>158.46292664009496</v>
          </cell>
          <cell r="K45">
            <v>75.620590255815571</v>
          </cell>
        </row>
        <row r="46">
          <cell r="G46">
            <v>0</v>
          </cell>
        </row>
      </sheetData>
      <sheetData sheetId="3">
        <row r="13">
          <cell r="H13">
            <v>720</v>
          </cell>
          <cell r="I13">
            <v>8.2191780821917804E-2</v>
          </cell>
        </row>
        <row r="21">
          <cell r="B21">
            <v>213.50805555555559</v>
          </cell>
          <cell r="C21">
            <v>470.63013888888889</v>
          </cell>
          <cell r="D21">
            <v>145.9</v>
          </cell>
          <cell r="E21">
            <v>320.73611111111109</v>
          </cell>
          <cell r="F21">
            <v>96.81236111111113</v>
          </cell>
          <cell r="G21">
            <v>1.5354166666666667</v>
          </cell>
          <cell r="H21">
            <v>0</v>
          </cell>
          <cell r="I21">
            <v>37.922777777777782</v>
          </cell>
          <cell r="J21">
            <v>20.240694444444447</v>
          </cell>
          <cell r="K21">
            <v>238.06347222222215</v>
          </cell>
        </row>
        <row r="22">
          <cell r="B22">
            <v>4.8902777777777775</v>
          </cell>
          <cell r="C22">
            <v>0</v>
          </cell>
          <cell r="D22">
            <v>8.4166666666666667E-2</v>
          </cell>
          <cell r="E22">
            <v>71.789722222222224</v>
          </cell>
          <cell r="F22">
            <v>181.61861111111114</v>
          </cell>
          <cell r="G22">
            <v>112.71277777777776</v>
          </cell>
          <cell r="H22">
            <v>986.46208333333323</v>
          </cell>
          <cell r="I22">
            <v>0</v>
          </cell>
          <cell r="J22">
            <v>149.05166666666668</v>
          </cell>
          <cell r="K22">
            <v>24.858611111111113</v>
          </cell>
        </row>
        <row r="24">
          <cell r="B24">
            <v>153.72580000000002</v>
          </cell>
          <cell r="C24">
            <v>338.8537</v>
          </cell>
          <cell r="D24">
            <v>105.048</v>
          </cell>
          <cell r="E24">
            <v>230.92999999999998</v>
          </cell>
          <cell r="F24">
            <v>69.704900000000009</v>
          </cell>
          <cell r="G24">
            <v>1.1054999999999999</v>
          </cell>
          <cell r="H24">
            <v>0</v>
          </cell>
          <cell r="I24">
            <v>27.304400000000001</v>
          </cell>
          <cell r="J24">
            <v>14.573300000000001</v>
          </cell>
          <cell r="K24">
            <v>171.40569999999997</v>
          </cell>
        </row>
        <row r="25">
          <cell r="B25">
            <v>3.5209999999999999</v>
          </cell>
          <cell r="C25">
            <v>0</v>
          </cell>
          <cell r="D25">
            <v>6.0600000000000001E-2</v>
          </cell>
          <cell r="E25">
            <v>51.688600000000008</v>
          </cell>
          <cell r="F25">
            <v>130.76540000000003</v>
          </cell>
          <cell r="G25">
            <v>81.153199999999984</v>
          </cell>
          <cell r="H25">
            <v>710.2527</v>
          </cell>
          <cell r="I25">
            <v>0</v>
          </cell>
          <cell r="J25">
            <v>107.3172</v>
          </cell>
          <cell r="K25">
            <v>17.898199999999999</v>
          </cell>
        </row>
        <row r="27">
          <cell r="B27">
            <v>1.253424466235544</v>
          </cell>
          <cell r="C27">
            <v>1.1961103671755859</v>
          </cell>
          <cell r="D27">
            <v>2.0404641968192285</v>
          </cell>
          <cell r="E27">
            <v>1.1884690878089725</v>
          </cell>
          <cell r="F27">
            <v>0.35370320969851132</v>
          </cell>
          <cell r="G27">
            <v>0.2899143207666508</v>
          </cell>
          <cell r="H27">
            <v>0</v>
          </cell>
          <cell r="I27">
            <v>8.0231623197536267E-2</v>
          </cell>
          <cell r="J27">
            <v>0.93131794176186133</v>
          </cell>
          <cell r="K27">
            <v>1.0724199597814583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0.23829209563876011</v>
          </cell>
          <cell r="F28">
            <v>0.29602165298535249</v>
          </cell>
          <cell r="G28">
            <v>0.41989963584734075</v>
          </cell>
          <cell r="H28">
            <v>0.70807056680770464</v>
          </cell>
          <cell r="I28">
            <v>0</v>
          </cell>
          <cell r="J28">
            <v>3.7344497571915387E-2</v>
          </cell>
          <cell r="K28">
            <v>0</v>
          </cell>
        </row>
        <row r="30">
          <cell r="B30">
            <v>0.42330866797001554</v>
          </cell>
        </row>
        <row r="31">
          <cell r="B31">
            <v>0.37082368115483388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0.4839134900104895</v>
          </cell>
          <cell r="H33">
            <v>1.1429651401595915</v>
          </cell>
          <cell r="I33">
            <v>0</v>
          </cell>
          <cell r="J33">
            <v>2.7600755632942488E-2</v>
          </cell>
          <cell r="K33">
            <v>0</v>
          </cell>
        </row>
        <row r="34">
          <cell r="I34">
            <v>0.97595124628730456</v>
          </cell>
        </row>
        <row r="38">
          <cell r="B38">
            <v>192.46314447138741</v>
          </cell>
          <cell r="C38">
            <v>402.02686025756799</v>
          </cell>
          <cell r="D38">
            <v>214.34668294746638</v>
          </cell>
          <cell r="E38">
            <v>272.21333345851269</v>
          </cell>
          <cell r="F38">
            <v>35.014288469570353</v>
          </cell>
          <cell r="G38">
            <v>1.3985466833783238</v>
          </cell>
          <cell r="H38">
            <v>0</v>
          </cell>
          <cell r="I38">
            <v>7.2664075593390898</v>
          </cell>
          <cell r="J38">
            <v>13.175104231934995</v>
          </cell>
          <cell r="K38">
            <v>183.78419623016421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11.938689043590568</v>
          </cell>
          <cell r="F39">
            <v>39.209934955117369</v>
          </cell>
          <cell r="G39">
            <v>33.896030548010856</v>
          </cell>
          <cell r="H39">
            <v>485.40490535854053</v>
          </cell>
          <cell r="I39">
            <v>0</v>
          </cell>
          <cell r="J39">
            <v>3.8243919276616376</v>
          </cell>
          <cell r="K39">
            <v>0</v>
          </cell>
        </row>
        <row r="41">
          <cell r="B41">
            <v>135.48840535716292</v>
          </cell>
          <cell r="C41">
            <v>232.26523302846789</v>
          </cell>
          <cell r="D41">
            <v>64.761993112732682</v>
          </cell>
          <cell r="E41">
            <v>173.78090746173049</v>
          </cell>
          <cell r="F41">
            <v>345.18705329614914</v>
          </cell>
          <cell r="G41">
            <v>62.226374191592285</v>
          </cell>
          <cell r="H41">
            <v>67.445770067662579</v>
          </cell>
          <cell r="I41">
            <v>110.06025367220404</v>
          </cell>
          <cell r="J41">
            <v>596.97104900471436</v>
          </cell>
          <cell r="K41">
            <v>106.74574680199883</v>
          </cell>
        </row>
        <row r="42">
          <cell r="B42">
            <v>7.6980232244795754</v>
          </cell>
          <cell r="C42">
            <v>0</v>
          </cell>
          <cell r="D42">
            <v>3.5359553998314426E-2</v>
          </cell>
          <cell r="E42">
            <v>45.5353577875917</v>
          </cell>
          <cell r="F42">
            <v>156.41612707279157</v>
          </cell>
          <cell r="G42">
            <v>75.477656465972274</v>
          </cell>
          <cell r="H42">
            <v>432.5413659695501</v>
          </cell>
          <cell r="I42">
            <v>0.50061196955902576</v>
          </cell>
          <cell r="J42">
            <v>58.267525019859036</v>
          </cell>
          <cell r="K42">
            <v>27.806028376307676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38.969827390431725</v>
          </cell>
          <cell r="H44">
            <v>780.1044552509419</v>
          </cell>
          <cell r="I44">
            <v>0</v>
          </cell>
          <cell r="J44">
            <v>2.8279054080283026</v>
          </cell>
          <cell r="K44">
            <v>0</v>
          </cell>
        </row>
        <row r="45">
          <cell r="B45">
            <v>20.260020440125345</v>
          </cell>
          <cell r="C45">
            <v>0</v>
          </cell>
          <cell r="D45">
            <v>9.3060941214294313E-2</v>
          </cell>
          <cell r="E45">
            <v>119.84210135809218</v>
          </cell>
          <cell r="F45">
            <v>411.66333735947387</v>
          </cell>
          <cell r="G45">
            <v>198.64565462865789</v>
          </cell>
          <cell r="H45">
            <v>1138.3827588199131</v>
          </cell>
          <cell r="I45">
            <v>1.3175341824878615</v>
          </cell>
          <cell r="J45">
            <v>153.35121932912415</v>
          </cell>
          <cell r="K45">
            <v>73.181216376595714</v>
          </cell>
        </row>
        <row r="46">
          <cell r="G46">
            <v>0</v>
          </cell>
        </row>
      </sheetData>
      <sheetData sheetId="4">
        <row r="13">
          <cell r="H13">
            <v>744</v>
          </cell>
          <cell r="I13">
            <v>8.493150684931508E-2</v>
          </cell>
        </row>
        <row r="21">
          <cell r="B21">
            <v>213.62594086021508</v>
          </cell>
          <cell r="C21">
            <v>463.50087365591395</v>
          </cell>
          <cell r="D21">
            <v>145.9</v>
          </cell>
          <cell r="E21">
            <v>320.34180107526879</v>
          </cell>
          <cell r="F21">
            <v>96.852956989247318</v>
          </cell>
          <cell r="G21">
            <v>1.5354166666666667</v>
          </cell>
          <cell r="H21">
            <v>0</v>
          </cell>
          <cell r="I21">
            <v>36.216061827956985</v>
          </cell>
          <cell r="J21">
            <v>20.033870967741933</v>
          </cell>
          <cell r="K21">
            <v>237.98461021505375</v>
          </cell>
        </row>
        <row r="22">
          <cell r="B22">
            <v>4.8821236559139782</v>
          </cell>
          <cell r="C22">
            <v>0</v>
          </cell>
          <cell r="D22">
            <v>8.0846774193548396E-2</v>
          </cell>
          <cell r="E22">
            <v>71.248521505376345</v>
          </cell>
          <cell r="F22">
            <v>180.15127688172046</v>
          </cell>
          <cell r="G22">
            <v>111.8872311827957</v>
          </cell>
          <cell r="H22">
            <v>979.33077956989246</v>
          </cell>
          <cell r="I22">
            <v>0</v>
          </cell>
          <cell r="J22">
            <v>148.05604838709678</v>
          </cell>
          <cell r="K22">
            <v>24.639381720430109</v>
          </cell>
        </row>
        <row r="24">
          <cell r="B24">
            <v>158.93770000000001</v>
          </cell>
          <cell r="C24">
            <v>344.84464999999994</v>
          </cell>
          <cell r="D24">
            <v>108.54960000000001</v>
          </cell>
          <cell r="E24">
            <v>238.33429999999998</v>
          </cell>
          <cell r="F24">
            <v>72.058600000000013</v>
          </cell>
          <cell r="G24">
            <v>1.14235</v>
          </cell>
          <cell r="H24">
            <v>0</v>
          </cell>
          <cell r="I24">
            <v>26.944749999999996</v>
          </cell>
          <cell r="J24">
            <v>14.905199999999999</v>
          </cell>
          <cell r="K24">
            <v>177.06054999999998</v>
          </cell>
        </row>
        <row r="25">
          <cell r="B25">
            <v>3.6322999999999999</v>
          </cell>
          <cell r="C25">
            <v>0</v>
          </cell>
          <cell r="D25">
            <v>6.0150000000000009E-2</v>
          </cell>
          <cell r="E25">
            <v>53.008900000000004</v>
          </cell>
          <cell r="F25">
            <v>134.03255000000001</v>
          </cell>
          <cell r="G25">
            <v>83.244100000000003</v>
          </cell>
          <cell r="H25">
            <v>728.62209999999993</v>
          </cell>
          <cell r="I25">
            <v>0</v>
          </cell>
          <cell r="J25">
            <v>110.1537</v>
          </cell>
          <cell r="K25">
            <v>18.331700000000001</v>
          </cell>
        </row>
        <row r="27">
          <cell r="B27">
            <v>1.2598597601720647</v>
          </cell>
          <cell r="C27">
            <v>1.2016860993045357</v>
          </cell>
          <cell r="D27">
            <v>2.0501267312546534</v>
          </cell>
          <cell r="E27">
            <v>1.1933481568491218</v>
          </cell>
          <cell r="F27">
            <v>0.36749119998336316</v>
          </cell>
          <cell r="G27">
            <v>0.29286391675702445</v>
          </cell>
          <cell r="H27">
            <v>0</v>
          </cell>
          <cell r="I27">
            <v>8.5871805611344457E-2</v>
          </cell>
          <cell r="J27">
            <v>0.93792790548065874</v>
          </cell>
          <cell r="K27">
            <v>1.0785328987673863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0.23851083790970212</v>
          </cell>
          <cell r="F28">
            <v>0.29616928356007088</v>
          </cell>
          <cell r="G28">
            <v>0.4236130499448163</v>
          </cell>
          <cell r="H28">
            <v>0.71322297160482317</v>
          </cell>
          <cell r="I28">
            <v>0</v>
          </cell>
          <cell r="J28">
            <v>3.8008993377990366E-2</v>
          </cell>
          <cell r="K28">
            <v>0</v>
          </cell>
        </row>
        <row r="30">
          <cell r="B30">
            <v>0.43732630433567599</v>
          </cell>
        </row>
        <row r="31">
          <cell r="B31">
            <v>0.38321167370392001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0.48781309023895153</v>
          </cell>
          <cell r="H33">
            <v>1.1504418952013942</v>
          </cell>
          <cell r="I33">
            <v>0</v>
          </cell>
          <cell r="J33">
            <v>2.794875622836859E-2</v>
          </cell>
          <cell r="K33">
            <v>0</v>
          </cell>
        </row>
        <row r="34">
          <cell r="I34">
            <v>1.0084829544968814</v>
          </cell>
        </row>
        <row r="38">
          <cell r="B38">
            <v>200.03444143381381</v>
          </cell>
          <cell r="C38">
            <v>410.55075521893883</v>
          </cell>
          <cell r="D38">
            <v>222.5404366270001</v>
          </cell>
          <cell r="E38">
            <v>282.10350766995145</v>
          </cell>
          <cell r="F38">
            <v>37.553338425619444</v>
          </cell>
          <cell r="G38">
            <v>1.4598680522504157</v>
          </cell>
          <cell r="H38">
            <v>0</v>
          </cell>
          <cell r="I38">
            <v>7.4107221110824471</v>
          </cell>
          <cell r="J38">
            <v>13.585039384131983</v>
          </cell>
          <cell r="K38">
            <v>190.92149822517271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12.265748210103281</v>
          </cell>
          <cell r="F39">
            <v>40.200116347121693</v>
          </cell>
          <cell r="G39">
            <v>35.040125669217772</v>
          </cell>
          <cell r="H39">
            <v>501.85489801954839</v>
          </cell>
          <cell r="I39">
            <v>0</v>
          </cell>
          <cell r="J39">
            <v>3.9965277815265381</v>
          </cell>
          <cell r="K39">
            <v>0</v>
          </cell>
        </row>
        <row r="41">
          <cell r="B41">
            <v>139.97503022871982</v>
          </cell>
          <cell r="C41">
            <v>239.95656992594209</v>
          </cell>
          <cell r="D41">
            <v>66.906551300315058</v>
          </cell>
          <cell r="E41">
            <v>179.53556771892508</v>
          </cell>
          <cell r="F41">
            <v>356.61773487052693</v>
          </cell>
          <cell r="G41">
            <v>64.286966737344372</v>
          </cell>
          <cell r="H41">
            <v>69.679200069803258</v>
          </cell>
          <cell r="I41">
            <v>113.70483912727578</v>
          </cell>
          <cell r="J41">
            <v>616.73942068938698</v>
          </cell>
          <cell r="K41">
            <v>110.28057416432742</v>
          </cell>
        </row>
        <row r="42">
          <cell r="B42">
            <v>7.9551887163126782</v>
          </cell>
          <cell r="C42">
            <v>0</v>
          </cell>
          <cell r="D42">
            <v>3.6540799732421768E-2</v>
          </cell>
          <cell r="E42">
            <v>47.056543466014233</v>
          </cell>
          <cell r="F42">
            <v>161.64147247333406</v>
          </cell>
          <cell r="G42">
            <v>77.99911529786533</v>
          </cell>
          <cell r="H42">
            <v>446.99114221392369</v>
          </cell>
          <cell r="I42">
            <v>0.51733575950029198</v>
          </cell>
          <cell r="J42">
            <v>60.214050289096939</v>
          </cell>
          <cell r="K42">
            <v>28.734935805500548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40.282521239311919</v>
          </cell>
          <cell r="H44">
            <v>806.07399835086176</v>
          </cell>
          <cell r="I44">
            <v>0</v>
          </cell>
          <cell r="J44">
            <v>2.9424080608746266</v>
          </cell>
          <cell r="K44">
            <v>0</v>
          </cell>
        </row>
        <row r="45">
          <cell r="B45">
            <v>20.935354454796187</v>
          </cell>
          <cell r="C45">
            <v>0</v>
          </cell>
          <cell r="D45">
            <v>9.6162972588104148E-2</v>
          </cell>
          <cell r="E45">
            <v>123.83683807002856</v>
          </cell>
          <cell r="F45">
            <v>425.38544860478964</v>
          </cell>
          <cell r="G45">
            <v>205.26717644961315</v>
          </cell>
          <cell r="H45">
            <v>1176.3288507805767</v>
          </cell>
          <cell r="I45">
            <v>1.3614519885707903</v>
          </cell>
          <cell r="J45">
            <v>158.46292664009499</v>
          </cell>
          <cell r="K45">
            <v>75.620590255815557</v>
          </cell>
        </row>
        <row r="46">
          <cell r="G46">
            <v>0</v>
          </cell>
        </row>
      </sheetData>
      <sheetData sheetId="5">
        <row r="13">
          <cell r="H13">
            <v>720</v>
          </cell>
          <cell r="I13">
            <v>8.2191780821917818E-2</v>
          </cell>
        </row>
        <row r="21">
          <cell r="B21">
            <v>213.91138888888889</v>
          </cell>
          <cell r="C21">
            <v>441.98986111111111</v>
          </cell>
          <cell r="D21">
            <v>145.9</v>
          </cell>
          <cell r="E21">
            <v>319.04611111111114</v>
          </cell>
          <cell r="F21">
            <v>96.949861111111119</v>
          </cell>
          <cell r="G21">
            <v>1.5354166666666667</v>
          </cell>
          <cell r="H21">
            <v>0</v>
          </cell>
          <cell r="I21">
            <v>31.781111111111112</v>
          </cell>
          <cell r="J21">
            <v>19.637361111111112</v>
          </cell>
          <cell r="K21">
            <v>237.68430555555554</v>
          </cell>
        </row>
        <row r="22">
          <cell r="B22">
            <v>4.8436111111111106</v>
          </cell>
          <cell r="C22">
            <v>0</v>
          </cell>
          <cell r="D22">
            <v>7.4722222222222232E-2</v>
          </cell>
          <cell r="E22">
            <v>69.726111111111109</v>
          </cell>
          <cell r="F22">
            <v>176.33138888888891</v>
          </cell>
          <cell r="G22">
            <v>109.77583333333334</v>
          </cell>
          <cell r="H22">
            <v>960.85347222222208</v>
          </cell>
          <cell r="I22">
            <v>0</v>
          </cell>
          <cell r="J22">
            <v>145.60805555555558</v>
          </cell>
          <cell r="K22">
            <v>23.981111111111112</v>
          </cell>
        </row>
        <row r="24">
          <cell r="B24">
            <v>154.0162</v>
          </cell>
          <cell r="C24">
            <v>318.23270000000002</v>
          </cell>
          <cell r="D24">
            <v>105.048</v>
          </cell>
          <cell r="E24">
            <v>229.7132</v>
          </cell>
          <cell r="F24">
            <v>69.803900000000013</v>
          </cell>
          <cell r="G24">
            <v>1.1054999999999999</v>
          </cell>
          <cell r="H24">
            <v>0</v>
          </cell>
          <cell r="I24">
            <v>22.882400000000001</v>
          </cell>
          <cell r="J24">
            <v>14.138900000000001</v>
          </cell>
          <cell r="K24">
            <v>171.13269999999997</v>
          </cell>
        </row>
        <row r="25">
          <cell r="B25">
            <v>3.4873999999999996</v>
          </cell>
          <cell r="C25">
            <v>0</v>
          </cell>
          <cell r="D25">
            <v>5.3800000000000008E-2</v>
          </cell>
          <cell r="E25">
            <v>50.202799999999996</v>
          </cell>
          <cell r="F25">
            <v>126.95860000000002</v>
          </cell>
          <cell r="G25">
            <v>79.038600000000002</v>
          </cell>
          <cell r="H25">
            <v>691.81449999999984</v>
          </cell>
          <cell r="I25">
            <v>0</v>
          </cell>
          <cell r="J25">
            <v>104.83780000000002</v>
          </cell>
          <cell r="K25">
            <v>17.266400000000001</v>
          </cell>
        </row>
        <row r="27">
          <cell r="B27">
            <v>1.2801212783575164</v>
          </cell>
          <cell r="C27">
            <v>1.2190368829881795</v>
          </cell>
          <cell r="D27">
            <v>2.0775846329969174</v>
          </cell>
          <cell r="E27">
            <v>1.2085232862427624</v>
          </cell>
          <cell r="F27">
            <v>0.40817603952061565</v>
          </cell>
          <cell r="G27">
            <v>0.29675649341335464</v>
          </cell>
          <cell r="H27">
            <v>0</v>
          </cell>
          <cell r="I27">
            <v>7.3120650972799198E-2</v>
          </cell>
          <cell r="J27">
            <v>0.95401963670743051</v>
          </cell>
          <cell r="K27">
            <v>1.0975548919989708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0.238898608368764</v>
          </cell>
          <cell r="F28">
            <v>0.29358748212359642</v>
          </cell>
          <cell r="G28">
            <v>0.43348768523401959</v>
          </cell>
          <cell r="H28">
            <v>0.72845984477479564</v>
          </cell>
          <cell r="I28">
            <v>0</v>
          </cell>
          <cell r="J28">
            <v>4.0059495167381658E-2</v>
          </cell>
          <cell r="K28">
            <v>0</v>
          </cell>
        </row>
        <row r="30">
          <cell r="B30">
            <v>0.42315103987193792</v>
          </cell>
        </row>
        <row r="31">
          <cell r="B31">
            <v>0.37089421051651622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0.49715068343076391</v>
          </cell>
          <cell r="H33">
            <v>1.1720226333240036</v>
          </cell>
          <cell r="I33">
            <v>0</v>
          </cell>
          <cell r="J33">
            <v>2.8922181246692807E-2</v>
          </cell>
          <cell r="K33">
            <v>0</v>
          </cell>
        </row>
        <row r="34">
          <cell r="I34">
            <v>0.97595124628730467</v>
          </cell>
        </row>
        <row r="38">
          <cell r="B38">
            <v>197.03235701895113</v>
          </cell>
          <cell r="C38">
            <v>382.81419350476637</v>
          </cell>
          <cell r="D38">
            <v>218.24611052706021</v>
          </cell>
          <cell r="E38">
            <v>275.38520236559765</v>
          </cell>
          <cell r="F38">
            <v>40.373428195832453</v>
          </cell>
          <cell r="G38">
            <v>1.431553324226023</v>
          </cell>
          <cell r="H38">
            <v>0</v>
          </cell>
          <cell r="I38">
            <v>6.2373076589751433</v>
          </cell>
          <cell r="J38">
            <v>13.116023831534919</v>
          </cell>
          <cell r="K38">
            <v>187.75800691086008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11.658926224179545</v>
          </cell>
          <cell r="F39">
            <v>37.814496823258494</v>
          </cell>
          <cell r="G39">
            <v>33.941828942405849</v>
          </cell>
          <cell r="H39">
            <v>486.70318032237509</v>
          </cell>
          <cell r="I39">
            <v>0</v>
          </cell>
          <cell r="J39">
            <v>4.0025486594865729</v>
          </cell>
          <cell r="K39">
            <v>0</v>
          </cell>
        </row>
        <row r="41">
          <cell r="B41">
            <v>135.4379533318112</v>
          </cell>
          <cell r="C41">
            <v>232.17874406733361</v>
          </cell>
          <cell r="D41">
            <v>64.737877590007784</v>
          </cell>
          <cell r="E41">
            <v>173.71619639862666</v>
          </cell>
          <cell r="F41">
            <v>345.05851546357178</v>
          </cell>
          <cell r="G41">
            <v>62.203202861174866</v>
          </cell>
          <cell r="H41">
            <v>67.420655182795869</v>
          </cell>
          <cell r="I41">
            <v>110.01927036670384</v>
          </cell>
          <cell r="J41">
            <v>596.74875397940036</v>
          </cell>
          <cell r="K41">
            <v>106.70599772450657</v>
          </cell>
        </row>
        <row r="42">
          <cell r="B42">
            <v>7.6994873614584982</v>
          </cell>
          <cell r="C42">
            <v>0</v>
          </cell>
          <cell r="D42">
            <v>3.5366279261288762E-2</v>
          </cell>
          <cell r="E42">
            <v>45.54401845270548</v>
          </cell>
          <cell r="F42">
            <v>156.44587687076813</v>
          </cell>
          <cell r="G42">
            <v>75.492012051125982</v>
          </cell>
          <cell r="H42">
            <v>432.62363381810837</v>
          </cell>
          <cell r="I42">
            <v>0.50070718419729721</v>
          </cell>
          <cell r="J42">
            <v>58.278607298460201</v>
          </cell>
          <cell r="K42">
            <v>27.811316985239543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38.916882524133761</v>
          </cell>
          <cell r="H44">
            <v>780.08620636498199</v>
          </cell>
          <cell r="I44">
            <v>0</v>
          </cell>
          <cell r="J44">
            <v>2.8990991602859117</v>
          </cell>
          <cell r="K44">
            <v>0</v>
          </cell>
        </row>
        <row r="45">
          <cell r="B45">
            <v>20.260020440125341</v>
          </cell>
          <cell r="C45">
            <v>0</v>
          </cell>
          <cell r="D45">
            <v>9.3060941214294327E-2</v>
          </cell>
          <cell r="E45">
            <v>119.84210135809218</v>
          </cell>
          <cell r="F45">
            <v>411.66333735947387</v>
          </cell>
          <cell r="G45">
            <v>198.64565462865789</v>
          </cell>
          <cell r="H45">
            <v>1138.3827588199131</v>
          </cell>
          <cell r="I45">
            <v>1.3175341824878615</v>
          </cell>
          <cell r="J45">
            <v>153.35121932912421</v>
          </cell>
          <cell r="K45">
            <v>73.181216376595714</v>
          </cell>
        </row>
        <row r="46">
          <cell r="G46">
            <v>0</v>
          </cell>
        </row>
      </sheetData>
      <sheetData sheetId="6">
        <row r="13">
          <cell r="H13">
            <v>744</v>
          </cell>
          <cell r="I13">
            <v>8.493150684931508E-2</v>
          </cell>
        </row>
        <row r="21">
          <cell r="B21">
            <v>213.62594086021508</v>
          </cell>
          <cell r="C21">
            <v>463.50087365591395</v>
          </cell>
          <cell r="D21">
            <v>145.9</v>
          </cell>
          <cell r="E21">
            <v>320.34180107526879</v>
          </cell>
          <cell r="F21">
            <v>96.852956989247318</v>
          </cell>
          <cell r="G21">
            <v>1.5354166666666667</v>
          </cell>
          <cell r="H21">
            <v>0</v>
          </cell>
          <cell r="I21">
            <v>36.216061827956985</v>
          </cell>
          <cell r="J21">
            <v>20.033870967741933</v>
          </cell>
          <cell r="K21">
            <v>237.98461021505375</v>
          </cell>
        </row>
        <row r="22">
          <cell r="B22">
            <v>4.8821236559139782</v>
          </cell>
          <cell r="C22">
            <v>0</v>
          </cell>
          <cell r="D22">
            <v>8.0846774193548396E-2</v>
          </cell>
          <cell r="E22">
            <v>71.248521505376345</v>
          </cell>
          <cell r="F22">
            <v>180.15127688172046</v>
          </cell>
          <cell r="G22">
            <v>111.8872311827957</v>
          </cell>
          <cell r="H22">
            <v>979.33077956989246</v>
          </cell>
          <cell r="I22">
            <v>0</v>
          </cell>
          <cell r="J22">
            <v>148.05604838709678</v>
          </cell>
          <cell r="K22">
            <v>24.639381720430109</v>
          </cell>
        </row>
        <row r="24">
          <cell r="B24">
            <v>158.93770000000001</v>
          </cell>
          <cell r="C24">
            <v>344.84464999999994</v>
          </cell>
          <cell r="D24">
            <v>108.54960000000001</v>
          </cell>
          <cell r="E24">
            <v>238.33429999999998</v>
          </cell>
          <cell r="F24">
            <v>72.058600000000013</v>
          </cell>
          <cell r="G24">
            <v>1.14235</v>
          </cell>
          <cell r="H24">
            <v>0</v>
          </cell>
          <cell r="I24">
            <v>26.944749999999996</v>
          </cell>
          <cell r="J24">
            <v>14.905199999999999</v>
          </cell>
          <cell r="K24">
            <v>177.06054999999998</v>
          </cell>
        </row>
        <row r="25">
          <cell r="B25">
            <v>3.6322999999999999</v>
          </cell>
          <cell r="C25">
            <v>0</v>
          </cell>
          <cell r="D25">
            <v>6.0150000000000009E-2</v>
          </cell>
          <cell r="E25">
            <v>53.008900000000004</v>
          </cell>
          <cell r="F25">
            <v>134.03255000000001</v>
          </cell>
          <cell r="G25">
            <v>83.244100000000003</v>
          </cell>
          <cell r="H25">
            <v>728.62209999999993</v>
          </cell>
          <cell r="I25">
            <v>0</v>
          </cell>
          <cell r="J25">
            <v>110.1537</v>
          </cell>
          <cell r="K25">
            <v>18.331700000000001</v>
          </cell>
        </row>
        <row r="27">
          <cell r="B27">
            <v>1.2598597601720647</v>
          </cell>
          <cell r="C27">
            <v>1.2016860993045357</v>
          </cell>
          <cell r="D27">
            <v>2.0501267312546534</v>
          </cell>
          <cell r="E27">
            <v>1.1933481568491218</v>
          </cell>
          <cell r="F27">
            <v>0.36749119998336316</v>
          </cell>
          <cell r="G27">
            <v>0.29286391675702445</v>
          </cell>
          <cell r="H27">
            <v>0</v>
          </cell>
          <cell r="I27">
            <v>8.5871805611344457E-2</v>
          </cell>
          <cell r="J27">
            <v>0.93792790548065874</v>
          </cell>
          <cell r="K27">
            <v>1.0785328987673863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0.23851083790970212</v>
          </cell>
          <cell r="F28">
            <v>0.29616928356007088</v>
          </cell>
          <cell r="G28">
            <v>0.4236130499448163</v>
          </cell>
          <cell r="H28">
            <v>0.71322297160482317</v>
          </cell>
          <cell r="I28">
            <v>0</v>
          </cell>
          <cell r="J28">
            <v>3.8008993377990366E-2</v>
          </cell>
          <cell r="K28">
            <v>0</v>
          </cell>
        </row>
        <row r="30">
          <cell r="B30">
            <v>0.43732630433567599</v>
          </cell>
        </row>
        <row r="31">
          <cell r="B31">
            <v>0.38321167370392001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0.48781309023895153</v>
          </cell>
          <cell r="H33">
            <v>1.1504418952013942</v>
          </cell>
          <cell r="I33">
            <v>0</v>
          </cell>
          <cell r="J33">
            <v>2.794875622836859E-2</v>
          </cell>
          <cell r="K33">
            <v>0</v>
          </cell>
        </row>
        <row r="34">
          <cell r="I34">
            <v>1.0084829544968814</v>
          </cell>
        </row>
        <row r="38">
          <cell r="B38">
            <v>200.03444143381381</v>
          </cell>
          <cell r="C38">
            <v>410.55075521893883</v>
          </cell>
          <cell r="D38">
            <v>222.5404366270001</v>
          </cell>
          <cell r="E38">
            <v>282.10350766995145</v>
          </cell>
          <cell r="F38">
            <v>37.553338425619444</v>
          </cell>
          <cell r="G38">
            <v>1.4598680522504157</v>
          </cell>
          <cell r="H38">
            <v>0</v>
          </cell>
          <cell r="I38">
            <v>7.4107221110824471</v>
          </cell>
          <cell r="J38">
            <v>13.585039384131983</v>
          </cell>
          <cell r="K38">
            <v>190.92149822517271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12.265748210103281</v>
          </cell>
          <cell r="F39">
            <v>40.200116347121693</v>
          </cell>
          <cell r="G39">
            <v>35.040125669217772</v>
          </cell>
          <cell r="H39">
            <v>501.85489801954839</v>
          </cell>
          <cell r="I39">
            <v>0</v>
          </cell>
          <cell r="J39">
            <v>3.9965277815265381</v>
          </cell>
          <cell r="K39">
            <v>0</v>
          </cell>
        </row>
        <row r="41">
          <cell r="B41">
            <v>139.97503022871982</v>
          </cell>
          <cell r="C41">
            <v>239.95656992594209</v>
          </cell>
          <cell r="D41">
            <v>66.906551300315058</v>
          </cell>
          <cell r="E41">
            <v>179.53556771892508</v>
          </cell>
          <cell r="F41">
            <v>356.61773487052693</v>
          </cell>
          <cell r="G41">
            <v>64.286966737344372</v>
          </cell>
          <cell r="H41">
            <v>69.679200069803258</v>
          </cell>
          <cell r="I41">
            <v>113.70483912727578</v>
          </cell>
          <cell r="J41">
            <v>616.73942068938698</v>
          </cell>
          <cell r="K41">
            <v>110.28057416432742</v>
          </cell>
        </row>
        <row r="42">
          <cell r="B42">
            <v>7.9551887163126782</v>
          </cell>
          <cell r="C42">
            <v>0</v>
          </cell>
          <cell r="D42">
            <v>3.6540799732421768E-2</v>
          </cell>
          <cell r="E42">
            <v>47.056543466014233</v>
          </cell>
          <cell r="F42">
            <v>161.64147247333406</v>
          </cell>
          <cell r="G42">
            <v>77.99911529786533</v>
          </cell>
          <cell r="H42">
            <v>446.99114221392369</v>
          </cell>
          <cell r="I42">
            <v>0.51733575950029198</v>
          </cell>
          <cell r="J42">
            <v>60.214050289096939</v>
          </cell>
          <cell r="K42">
            <v>28.734935805500548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40.282521239311919</v>
          </cell>
          <cell r="H44">
            <v>806.07399835086176</v>
          </cell>
          <cell r="I44">
            <v>0</v>
          </cell>
          <cell r="J44">
            <v>2.9424080608746266</v>
          </cell>
          <cell r="K44">
            <v>0</v>
          </cell>
        </row>
        <row r="45">
          <cell r="B45">
            <v>20.935354454796187</v>
          </cell>
          <cell r="C45">
            <v>0</v>
          </cell>
          <cell r="D45">
            <v>9.6162972588104148E-2</v>
          </cell>
          <cell r="E45">
            <v>123.83683807002856</v>
          </cell>
          <cell r="F45">
            <v>425.38544860478964</v>
          </cell>
          <cell r="G45">
            <v>205.26717644961315</v>
          </cell>
          <cell r="H45">
            <v>1176.3288507805767</v>
          </cell>
          <cell r="I45">
            <v>1.3614519885707903</v>
          </cell>
          <cell r="J45">
            <v>158.46292664009499</v>
          </cell>
          <cell r="K45">
            <v>75.620590255815557</v>
          </cell>
        </row>
        <row r="46">
          <cell r="G46">
            <v>0</v>
          </cell>
        </row>
      </sheetData>
      <sheetData sheetId="7">
        <row r="13">
          <cell r="H13">
            <v>744</v>
          </cell>
          <cell r="I13">
            <v>8.4931506849315067E-2</v>
          </cell>
        </row>
        <row r="21">
          <cell r="B21">
            <v>79.688911290322579</v>
          </cell>
          <cell r="C21">
            <v>69.459274193548382</v>
          </cell>
          <cell r="D21">
            <v>31.5</v>
          </cell>
          <cell r="E21">
            <v>140.32264784946236</v>
          </cell>
          <cell r="F21">
            <v>291.1570564516129</v>
          </cell>
          <cell r="G21">
            <v>47.608333333333334</v>
          </cell>
          <cell r="H21">
            <v>0</v>
          </cell>
          <cell r="I21">
            <v>0</v>
          </cell>
          <cell r="J21">
            <v>50.764448924731184</v>
          </cell>
          <cell r="K21">
            <v>109.95094086021506</v>
          </cell>
        </row>
        <row r="22">
          <cell r="B22">
            <v>4.6741935483870964</v>
          </cell>
          <cell r="C22">
            <v>0</v>
          </cell>
          <cell r="D22">
            <v>8.0107526881720445E-2</v>
          </cell>
          <cell r="E22">
            <v>84.24522849462366</v>
          </cell>
          <cell r="F22">
            <v>122.23790322580645</v>
          </cell>
          <cell r="G22">
            <v>108.27815860215055</v>
          </cell>
          <cell r="H22">
            <v>871.660819892473</v>
          </cell>
          <cell r="I22">
            <v>0</v>
          </cell>
          <cell r="J22">
            <v>180.8192876344086</v>
          </cell>
          <cell r="K22">
            <v>23.514180107526879</v>
          </cell>
        </row>
        <row r="24">
          <cell r="B24">
            <v>59.288550000000001</v>
          </cell>
          <cell r="C24">
            <v>51.677699999999994</v>
          </cell>
          <cell r="D24">
            <v>23.436</v>
          </cell>
          <cell r="E24">
            <v>104.40004999999999</v>
          </cell>
          <cell r="F24">
            <v>216.62085000000002</v>
          </cell>
          <cell r="G24">
            <v>35.4206</v>
          </cell>
          <cell r="H24">
            <v>0</v>
          </cell>
          <cell r="I24">
            <v>0</v>
          </cell>
          <cell r="J24">
            <v>37.768749999999997</v>
          </cell>
          <cell r="K24">
            <v>81.8035</v>
          </cell>
        </row>
        <row r="25">
          <cell r="B25">
            <v>3.4775999999999998</v>
          </cell>
          <cell r="C25">
            <v>0</v>
          </cell>
          <cell r="D25">
            <v>5.9600000000000007E-2</v>
          </cell>
          <cell r="E25">
            <v>62.678450000000005</v>
          </cell>
          <cell r="F25">
            <v>90.944999999999993</v>
          </cell>
          <cell r="G25">
            <v>80.55895000000001</v>
          </cell>
          <cell r="H25">
            <v>648.51564999999994</v>
          </cell>
          <cell r="I25">
            <v>0</v>
          </cell>
          <cell r="J25">
            <v>134.52955</v>
          </cell>
          <cell r="K25">
            <v>17.49455</v>
          </cell>
        </row>
        <row r="27">
          <cell r="B27">
            <v>2.769997753122813</v>
          </cell>
          <cell r="C27">
            <v>2.1428031604529538</v>
          </cell>
          <cell r="D27">
            <v>3.1368906802539125</v>
          </cell>
          <cell r="E27">
            <v>2.2006108926717127</v>
          </cell>
          <cell r="F27">
            <v>0.97446130797271335</v>
          </cell>
          <cell r="G27">
            <v>2.9743790898983331</v>
          </cell>
          <cell r="H27">
            <v>0</v>
          </cell>
          <cell r="I27">
            <v>0</v>
          </cell>
          <cell r="J27">
            <v>0.50318871765341644</v>
          </cell>
          <cell r="K27">
            <v>1.7055666516743018</v>
          </cell>
        </row>
        <row r="28">
          <cell r="B28">
            <v>2.4685408591733866E-2</v>
          </cell>
          <cell r="C28">
            <v>0</v>
          </cell>
          <cell r="D28">
            <v>0</v>
          </cell>
          <cell r="E28">
            <v>0.92403236572114089</v>
          </cell>
          <cell r="F28">
            <v>0.49747007905985557</v>
          </cell>
          <cell r="G28">
            <v>1.3433473272841077</v>
          </cell>
          <cell r="H28">
            <v>0.56298690625502179</v>
          </cell>
          <cell r="I28">
            <v>0</v>
          </cell>
          <cell r="J28">
            <v>2.2154559918633717E-3</v>
          </cell>
          <cell r="K28">
            <v>0</v>
          </cell>
        </row>
        <row r="30">
          <cell r="B30">
            <v>0.49671746574074743</v>
          </cell>
        </row>
        <row r="31">
          <cell r="B31">
            <v>0.38746064571562944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1.4668462928759751</v>
          </cell>
          <cell r="H33">
            <v>1.1303516978155064</v>
          </cell>
          <cell r="I33">
            <v>0</v>
          </cell>
          <cell r="J33">
            <v>1.4121523116127743E-3</v>
          </cell>
          <cell r="K33">
            <v>0</v>
          </cell>
        </row>
        <row r="34">
          <cell r="I34">
            <v>1.014583311816869</v>
          </cell>
        </row>
        <row r="38">
          <cell r="B38">
            <v>166.71497873028542</v>
          </cell>
          <cell r="C38">
            <v>107.63800684245815</v>
          </cell>
          <cell r="D38">
            <v>73.516169982430696</v>
          </cell>
          <cell r="E38">
            <v>218.75609934861984</v>
          </cell>
          <cell r="F38">
            <v>211.41938754881329</v>
          </cell>
          <cell r="G38">
            <v>101.04360568007367</v>
          </cell>
          <cell r="H38">
            <v>0</v>
          </cell>
          <cell r="I38">
            <v>0</v>
          </cell>
          <cell r="J38">
            <v>18.250298468611774</v>
          </cell>
          <cell r="K38">
            <v>139.40768177322303</v>
          </cell>
        </row>
        <row r="39">
          <cell r="B39">
            <v>0.29426734318601555</v>
          </cell>
          <cell r="C39">
            <v>0</v>
          </cell>
          <cell r="D39">
            <v>0</v>
          </cell>
          <cell r="E39">
            <v>57.395579381052478</v>
          </cell>
          <cell r="F39">
            <v>52.074489446817971</v>
          </cell>
          <cell r="G39">
            <v>108.01952647033021</v>
          </cell>
          <cell r="H39">
            <v>366.1175719614219</v>
          </cell>
          <cell r="I39">
            <v>0</v>
          </cell>
          <cell r="J39">
            <v>0.24040237497125508</v>
          </cell>
          <cell r="K39">
            <v>0</v>
          </cell>
        </row>
        <row r="41">
          <cell r="B41">
            <v>178.8530578892709</v>
          </cell>
          <cell r="C41">
            <v>272.54390627729066</v>
          </cell>
          <cell r="D41">
            <v>75.992805083676956</v>
          </cell>
          <cell r="E41">
            <v>243.60514672323472</v>
          </cell>
          <cell r="F41">
            <v>409.041865862848</v>
          </cell>
          <cell r="G41">
            <v>73.017467463889872</v>
          </cell>
          <cell r="H41">
            <v>79.141993816473288</v>
          </cell>
          <cell r="I41">
            <v>129.14654109259433</v>
          </cell>
          <cell r="J41">
            <v>700.49580606088898</v>
          </cell>
          <cell r="K41">
            <v>125.25724333584425</v>
          </cell>
        </row>
        <row r="42">
          <cell r="B42">
            <v>8.0433942082716623</v>
          </cell>
          <cell r="C42">
            <v>0</v>
          </cell>
          <cell r="D42">
            <v>3.6945956584372212E-2</v>
          </cell>
          <cell r="E42">
            <v>47.578296715914874</v>
          </cell>
          <cell r="F42">
            <v>163.43371978624177</v>
          </cell>
          <cell r="G42">
            <v>78.863953403227399</v>
          </cell>
          <cell r="H42">
            <v>451.94728781980217</v>
          </cell>
          <cell r="I42">
            <v>0.52307187171609981</v>
          </cell>
          <cell r="J42">
            <v>60.881691261296858</v>
          </cell>
          <cell r="K42">
            <v>29.05354284796287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118.35962179660847</v>
          </cell>
          <cell r="H44">
            <v>717.55499165365984</v>
          </cell>
          <cell r="I44">
            <v>0</v>
          </cell>
          <cell r="J44">
            <v>0.15327267848668816</v>
          </cell>
          <cell r="K44">
            <v>0</v>
          </cell>
        </row>
        <row r="45">
          <cell r="B45">
            <v>21.061993325810686</v>
          </cell>
          <cell r="C45">
            <v>0</v>
          </cell>
          <cell r="D45">
            <v>9.6744666598026441E-2</v>
          </cell>
          <cell r="E45">
            <v>124.58593249768944</v>
          </cell>
          <cell r="F45">
            <v>427.95862371264963</v>
          </cell>
          <cell r="G45">
            <v>206.5088465411342</v>
          </cell>
          <cell r="H45">
            <v>1183.444515238338</v>
          </cell>
          <cell r="I45">
            <v>1.3696874709527731</v>
          </cell>
          <cell r="J45">
            <v>159.42147578578459</v>
          </cell>
          <cell r="K45">
            <v>76.078022500209798</v>
          </cell>
        </row>
        <row r="46">
          <cell r="G46">
            <v>0</v>
          </cell>
        </row>
      </sheetData>
      <sheetData sheetId="8">
        <row r="13">
          <cell r="H13">
            <v>672</v>
          </cell>
          <cell r="I13">
            <v>7.6712328767123306E-2</v>
          </cell>
        </row>
        <row r="21">
          <cell r="B21">
            <v>79.774479166666666</v>
          </cell>
          <cell r="C21">
            <v>68.009821428571428</v>
          </cell>
          <cell r="D21">
            <v>31.5</v>
          </cell>
          <cell r="E21">
            <v>140.37351190476187</v>
          </cell>
          <cell r="F21">
            <v>291.26436011904764</v>
          </cell>
          <cell r="G21">
            <v>47.608333333333334</v>
          </cell>
          <cell r="H21">
            <v>0</v>
          </cell>
          <cell r="I21">
            <v>0</v>
          </cell>
          <cell r="J21">
            <v>50.296875</v>
          </cell>
          <cell r="K21">
            <v>110.08013392857144</v>
          </cell>
        </row>
        <row r="22">
          <cell r="B22">
            <v>4.6864583333333334</v>
          </cell>
          <cell r="C22">
            <v>0</v>
          </cell>
          <cell r="D22">
            <v>7.7083333333333323E-2</v>
          </cell>
          <cell r="E22">
            <v>83.84910714285715</v>
          </cell>
          <cell r="F22">
            <v>121.66183035714286</v>
          </cell>
          <cell r="G22">
            <v>107.80208333333331</v>
          </cell>
          <cell r="H22">
            <v>865.9944940476189</v>
          </cell>
          <cell r="I22">
            <v>0</v>
          </cell>
          <cell r="J22">
            <v>179.76763392857143</v>
          </cell>
          <cell r="K22">
            <v>23.400223214285717</v>
          </cell>
        </row>
        <row r="24">
          <cell r="B24">
            <v>53.608449999999998</v>
          </cell>
          <cell r="C24">
            <v>45.702599999999997</v>
          </cell>
          <cell r="D24">
            <v>21.167999999999999</v>
          </cell>
          <cell r="E24">
            <v>94.330999999999989</v>
          </cell>
          <cell r="F24">
            <v>195.72965000000002</v>
          </cell>
          <cell r="G24">
            <v>31.992800000000003</v>
          </cell>
          <cell r="H24">
            <v>0</v>
          </cell>
          <cell r="I24">
            <v>0</v>
          </cell>
          <cell r="J24">
            <v>33.799500000000002</v>
          </cell>
          <cell r="K24">
            <v>73.973849999999999</v>
          </cell>
        </row>
        <row r="25">
          <cell r="B25">
            <v>3.1493000000000002</v>
          </cell>
          <cell r="C25">
            <v>0</v>
          </cell>
          <cell r="D25">
            <v>5.1799999999999999E-2</v>
          </cell>
          <cell r="E25">
            <v>56.346600000000009</v>
          </cell>
          <cell r="F25">
            <v>81.756749999999997</v>
          </cell>
          <cell r="G25">
            <v>72.442999999999984</v>
          </cell>
          <cell r="H25">
            <v>581.9482999999999</v>
          </cell>
          <cell r="I25">
            <v>0</v>
          </cell>
          <cell r="J25">
            <v>120.80385</v>
          </cell>
          <cell r="K25">
            <v>15.724950000000002</v>
          </cell>
        </row>
        <row r="27">
          <cell r="B27">
            <v>2.7831904368090892</v>
          </cell>
          <cell r="C27">
            <v>2.1462424533362445</v>
          </cell>
          <cell r="D27">
            <v>3.113615540013666</v>
          </cell>
          <cell r="E27">
            <v>2.2079731612708744</v>
          </cell>
          <cell r="F27">
            <v>0.98334140034484563</v>
          </cell>
          <cell r="G27">
            <v>2.9876438263812748</v>
          </cell>
          <cell r="H27">
            <v>0</v>
          </cell>
          <cell r="I27">
            <v>0</v>
          </cell>
          <cell r="J27">
            <v>0.50670091097493397</v>
          </cell>
          <cell r="K27">
            <v>1.7106875817183653</v>
          </cell>
        </row>
        <row r="28">
          <cell r="B28">
            <v>2.4657942759760198E-2</v>
          </cell>
          <cell r="C28">
            <v>0</v>
          </cell>
          <cell r="D28">
            <v>0</v>
          </cell>
          <cell r="E28">
            <v>0.92989642209812795</v>
          </cell>
          <cell r="F28">
            <v>0.49689075070153282</v>
          </cell>
          <cell r="G28">
            <v>1.3384791125601896</v>
          </cell>
          <cell r="H28">
            <v>0.56648914432527353</v>
          </cell>
          <cell r="I28">
            <v>0</v>
          </cell>
          <cell r="J28">
            <v>2.0440218972548963E-3</v>
          </cell>
          <cell r="K28">
            <v>0</v>
          </cell>
        </row>
        <row r="30">
          <cell r="B30">
            <v>0.44793763060705777</v>
          </cell>
        </row>
        <row r="31">
          <cell r="B31">
            <v>0.35002578444953619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1.4846981739906875</v>
          </cell>
          <cell r="H33">
            <v>1.1351646870436158</v>
          </cell>
          <cell r="I33">
            <v>0</v>
          </cell>
          <cell r="J33">
            <v>1.3028786208332142E-3</v>
          </cell>
          <cell r="K33">
            <v>0</v>
          </cell>
        </row>
        <row r="34">
          <cell r="I34">
            <v>0.91588595638627635</v>
          </cell>
        </row>
        <row r="38">
          <cell r="B38">
            <v>151.63903047174907</v>
          </cell>
          <cell r="C38">
            <v>95.535420370686097</v>
          </cell>
          <cell r="D38">
            <v>65.909013751009269</v>
          </cell>
          <cell r="E38">
            <v>198.58502691767569</v>
          </cell>
          <cell r="F38">
            <v>193.41961988168924</v>
          </cell>
          <cell r="G38">
            <v>91.674911147014654</v>
          </cell>
          <cell r="H38">
            <v>0</v>
          </cell>
          <cell r="I38">
            <v>0</v>
          </cell>
          <cell r="J38">
            <v>16.469264228341341</v>
          </cell>
          <cell r="K38">
            <v>126.45465506223972</v>
          </cell>
        </row>
        <row r="39">
          <cell r="B39">
            <v>0.26618705027268835</v>
          </cell>
          <cell r="C39">
            <v>0</v>
          </cell>
          <cell r="D39">
            <v>0</v>
          </cell>
          <cell r="E39">
            <v>51.92675232530879</v>
          </cell>
          <cell r="F39">
            <v>46.931915370568497</v>
          </cell>
          <cell r="G39">
            <v>97.061231534091235</v>
          </cell>
          <cell r="H39">
            <v>331.09254124003206</v>
          </cell>
          <cell r="I39">
            <v>0</v>
          </cell>
          <cell r="J39">
            <v>0.20033531247604588</v>
          </cell>
          <cell r="K39">
            <v>0</v>
          </cell>
        </row>
        <row r="41">
          <cell r="B41">
            <v>161.28890265268333</v>
          </cell>
          <cell r="C41">
            <v>245.77889853778655</v>
          </cell>
          <cell r="D41">
            <v>68.529978106573779</v>
          </cell>
          <cell r="E41">
            <v>219.68205217861936</v>
          </cell>
          <cell r="F41">
            <v>368.8721594286061</v>
          </cell>
          <cell r="G41">
            <v>65.846831699237512</v>
          </cell>
          <cell r="H41">
            <v>71.369902684622531</v>
          </cell>
          <cell r="I41">
            <v>116.46378395783503</v>
          </cell>
          <cell r="J41">
            <v>631.70404356360348</v>
          </cell>
          <cell r="K41">
            <v>112.95643231018177</v>
          </cell>
        </row>
        <row r="42">
          <cell r="B42">
            <v>7.266274390750536</v>
          </cell>
          <cell r="C42">
            <v>0</v>
          </cell>
          <cell r="D42">
            <v>3.3376389521568732E-2</v>
          </cell>
          <cell r="E42">
            <v>42.981476480023112</v>
          </cell>
          <cell r="F42">
            <v>147.64342290305891</v>
          </cell>
          <cell r="G42">
            <v>71.244441106455398</v>
          </cell>
          <cell r="H42">
            <v>408.28199121174737</v>
          </cell>
          <cell r="I42">
            <v>0.47253480900687389</v>
          </cell>
          <cell r="J42">
            <v>54.999551510555619</v>
          </cell>
          <cell r="K42">
            <v>26.246508487626247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108.12310680201273</v>
          </cell>
          <cell r="H44">
            <v>648.01745743543472</v>
          </cell>
          <cell r="I44">
            <v>0</v>
          </cell>
          <cell r="J44">
            <v>0.12772723207224015</v>
          </cell>
          <cell r="K44">
            <v>0</v>
          </cell>
        </row>
        <row r="45">
          <cell r="B45">
            <v>19.013109791907734</v>
          </cell>
          <cell r="C45">
            <v>0</v>
          </cell>
          <cell r="D45">
            <v>8.7333470263502966E-2</v>
          </cell>
          <cell r="E45">
            <v>112.46637374074852</v>
          </cell>
          <cell r="F45">
            <v>386.3273610039065</v>
          </cell>
          <cell r="G45">
            <v>186.41993241329081</v>
          </cell>
          <cell r="H45">
            <v>1068.3205598248605</v>
          </cell>
          <cell r="I45">
            <v>1.2364460411214735</v>
          </cell>
          <cell r="J45">
            <v>143.91316032697557</v>
          </cell>
          <cell r="K45">
            <v>68.677250636819309</v>
          </cell>
        </row>
        <row r="46">
          <cell r="G46">
            <v>0</v>
          </cell>
        </row>
      </sheetData>
      <sheetData sheetId="9">
        <row r="13">
          <cell r="H13">
            <v>744</v>
          </cell>
          <cell r="I13">
            <v>8.4931506849315067E-2</v>
          </cell>
        </row>
        <row r="21">
          <cell r="B21">
            <v>79.489045698924727</v>
          </cell>
          <cell r="C21">
            <v>70.789919354838716</v>
          </cell>
          <cell r="D21">
            <v>31.5</v>
          </cell>
          <cell r="E21">
            <v>140.05974462365592</v>
          </cell>
          <cell r="F21">
            <v>290.83353494623663</v>
          </cell>
          <cell r="G21">
            <v>47.608333333333334</v>
          </cell>
          <cell r="H21">
            <v>0</v>
          </cell>
          <cell r="I21">
            <v>0</v>
          </cell>
          <cell r="J21">
            <v>51.914717741935497</v>
          </cell>
          <cell r="K21">
            <v>110.63064516129033</v>
          </cell>
        </row>
        <row r="22">
          <cell r="B22">
            <v>4.69489247311828</v>
          </cell>
          <cell r="C22">
            <v>0</v>
          </cell>
          <cell r="D22">
            <v>8.4677419354838704E-2</v>
          </cell>
          <cell r="E22">
            <v>85.454637096774206</v>
          </cell>
          <cell r="F22">
            <v>124.15336021505377</v>
          </cell>
          <cell r="G22">
            <v>109.78353494623651</v>
          </cell>
          <cell r="H22">
            <v>884.27345430107505</v>
          </cell>
          <cell r="I22">
            <v>0</v>
          </cell>
          <cell r="J22">
            <v>183.57049731182792</v>
          </cell>
          <cell r="K22">
            <v>23.835819892473125</v>
          </cell>
        </row>
        <row r="24">
          <cell r="B24">
            <v>59.139849999999996</v>
          </cell>
          <cell r="C24">
            <v>52.667700000000004</v>
          </cell>
          <cell r="D24">
            <v>23.436</v>
          </cell>
          <cell r="E24">
            <v>104.20444999999999</v>
          </cell>
          <cell r="F24">
            <v>216.38015000000004</v>
          </cell>
          <cell r="G24">
            <v>35.4206</v>
          </cell>
          <cell r="H24">
            <v>0</v>
          </cell>
          <cell r="I24">
            <v>0</v>
          </cell>
          <cell r="J24">
            <v>38.624550000000013</v>
          </cell>
          <cell r="K24">
            <v>82.309200000000018</v>
          </cell>
        </row>
        <row r="25">
          <cell r="B25">
            <v>3.4929999999999999</v>
          </cell>
          <cell r="C25">
            <v>0</v>
          </cell>
          <cell r="D25">
            <v>6.3E-2</v>
          </cell>
          <cell r="E25">
            <v>63.578250000000004</v>
          </cell>
          <cell r="F25">
            <v>92.370100000000008</v>
          </cell>
          <cell r="G25">
            <v>81.678949999999972</v>
          </cell>
          <cell r="H25">
            <v>657.89944999999989</v>
          </cell>
          <cell r="I25">
            <v>0</v>
          </cell>
          <cell r="J25">
            <v>136.57644999999999</v>
          </cell>
          <cell r="K25">
            <v>17.733850000000007</v>
          </cell>
        </row>
        <row r="27">
          <cell r="B27">
            <v>2.9550426332557356</v>
          </cell>
          <cell r="C27">
            <v>2.3243639946630279</v>
          </cell>
          <cell r="D27">
            <v>3.0237623652412724</v>
          </cell>
          <cell r="E27">
            <v>2.3448220763625871</v>
          </cell>
          <cell r="F27">
            <v>0.85821493645327585</v>
          </cell>
          <cell r="G27">
            <v>3.338563738292029</v>
          </cell>
          <cell r="H27">
            <v>0</v>
          </cell>
          <cell r="I27">
            <v>0</v>
          </cell>
          <cell r="J27">
            <v>0.49432993511892859</v>
          </cell>
          <cell r="K27">
            <v>1.8495308530684194</v>
          </cell>
        </row>
        <row r="28">
          <cell r="B28">
            <v>2.4659355975255082E-2</v>
          </cell>
          <cell r="C28">
            <v>0</v>
          </cell>
          <cell r="D28">
            <v>0</v>
          </cell>
          <cell r="E28">
            <v>0.79174787917214207</v>
          </cell>
          <cell r="F28">
            <v>0.43822543731778718</v>
          </cell>
          <cell r="G28">
            <v>1.2032502192450021</v>
          </cell>
          <cell r="H28">
            <v>0.56784287441412207</v>
          </cell>
          <cell r="I28">
            <v>0</v>
          </cell>
          <cell r="J28">
            <v>1.476970661242248E-3</v>
          </cell>
          <cell r="K28">
            <v>0</v>
          </cell>
        </row>
        <row r="30">
          <cell r="B30">
            <v>0.48962266249108283</v>
          </cell>
        </row>
        <row r="31">
          <cell r="B31">
            <v>0.39263728584099933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1.3958711815977793</v>
          </cell>
          <cell r="H33">
            <v>1.1005536787541472</v>
          </cell>
          <cell r="I33">
            <v>0</v>
          </cell>
          <cell r="J33">
            <v>9.4143487440851608E-4</v>
          </cell>
          <cell r="K33">
            <v>0</v>
          </cell>
        </row>
        <row r="34">
          <cell r="I34">
            <v>1.0206087199884426</v>
          </cell>
        </row>
        <row r="38">
          <cell r="B38">
            <v>178.78354170387598</v>
          </cell>
          <cell r="C38">
            <v>117.33927717523234</v>
          </cell>
          <cell r="D38">
            <v>70.86489479179447</v>
          </cell>
          <cell r="E38">
            <v>235.78573785301143</v>
          </cell>
          <cell r="F38">
            <v>181.42316800706519</v>
          </cell>
          <cell r="G38">
            <v>114.27575565646275</v>
          </cell>
          <cell r="H38">
            <v>0</v>
          </cell>
          <cell r="I38">
            <v>0</v>
          </cell>
          <cell r="J38">
            <v>18.488514052147092</v>
          </cell>
          <cell r="K38">
            <v>152.45279311374682</v>
          </cell>
        </row>
        <row r="39">
          <cell r="B39">
            <v>0.295274051392107</v>
          </cell>
          <cell r="C39">
            <v>0</v>
          </cell>
          <cell r="D39">
            <v>0</v>
          </cell>
          <cell r="E39">
            <v>49.358519076385711</v>
          </cell>
          <cell r="F39">
            <v>48.675045806405841</v>
          </cell>
          <cell r="G39">
            <v>97.87695563184802</v>
          </cell>
          <cell r="H39">
            <v>376.54817930919552</v>
          </cell>
          <cell r="I39">
            <v>0</v>
          </cell>
          <cell r="J39">
            <v>0.16026824998083672</v>
          </cell>
          <cell r="K39">
            <v>0</v>
          </cell>
        </row>
        <row r="41">
          <cell r="B41">
            <v>176.29843208316422</v>
          </cell>
          <cell r="C41">
            <v>268.65105868223225</v>
          </cell>
          <cell r="D41">
            <v>74.907371134510768</v>
          </cell>
          <cell r="E41">
            <v>240.12564236550179</v>
          </cell>
          <cell r="F41">
            <v>403.19936633478181</v>
          </cell>
          <cell r="G41">
            <v>71.974531386189184</v>
          </cell>
          <cell r="H41">
            <v>78.011578814704237</v>
          </cell>
          <cell r="I41">
            <v>127.30189224768155</v>
          </cell>
          <cell r="J41">
            <v>690.49035977804976</v>
          </cell>
          <cell r="K41">
            <v>123.46814680037636</v>
          </cell>
        </row>
        <row r="42">
          <cell r="B42">
            <v>8.1508573988256412</v>
          </cell>
          <cell r="C42">
            <v>0</v>
          </cell>
          <cell r="D42">
            <v>3.7439570383450027E-2</v>
          </cell>
          <cell r="E42">
            <v>48.213963131587768</v>
          </cell>
          <cell r="F42">
            <v>165.61726425982641</v>
          </cell>
          <cell r="G42">
            <v>79.917609587788846</v>
          </cell>
          <cell r="H42">
            <v>457.98549709486008</v>
          </cell>
          <cell r="I42">
            <v>0.53006033588534918</v>
          </cell>
          <cell r="J42">
            <v>61.695096724196226</v>
          </cell>
          <cell r="K42">
            <v>29.441710620235927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113.72337551044501</v>
          </cell>
          <cell r="H44">
            <v>709.17384423001261</v>
          </cell>
          <cell r="I44">
            <v>0</v>
          </cell>
          <cell r="J44">
            <v>0.10218178565779211</v>
          </cell>
          <cell r="K44">
            <v>0</v>
          </cell>
        </row>
        <row r="45">
          <cell r="B45">
            <v>21.187076308368034</v>
          </cell>
          <cell r="C45">
            <v>0</v>
          </cell>
          <cell r="D45">
            <v>9.731921390024062E-2</v>
          </cell>
          <cell r="E45">
            <v>125.32582353176372</v>
          </cell>
          <cell r="F45">
            <v>430.50018472432828</v>
          </cell>
          <cell r="G45">
            <v>207.73526144167394</v>
          </cell>
          <cell r="H45">
            <v>1190.4727564578311</v>
          </cell>
          <cell r="I45">
            <v>1.3778217719843977</v>
          </cell>
          <cell r="J45">
            <v>160.36824817178393</v>
          </cell>
          <cell r="K45">
            <v>76.529834720173312</v>
          </cell>
        </row>
        <row r="46">
          <cell r="G46">
            <v>0</v>
          </cell>
        </row>
      </sheetData>
      <sheetData sheetId="10">
        <row r="13">
          <cell r="H13">
            <v>720</v>
          </cell>
          <cell r="I13">
            <v>8.2191780821917804E-2</v>
          </cell>
        </row>
        <row r="21">
          <cell r="B21">
            <v>79.818750000000009</v>
          </cell>
          <cell r="C21">
            <v>67.862499999999983</v>
          </cell>
          <cell r="D21">
            <v>31.5</v>
          </cell>
          <cell r="E21">
            <v>140.44208333333333</v>
          </cell>
          <cell r="F21">
            <v>291.34125</v>
          </cell>
          <cell r="G21">
            <v>47.608333333333341</v>
          </cell>
          <cell r="H21">
            <v>0</v>
          </cell>
          <cell r="I21">
            <v>0</v>
          </cell>
          <cell r="J21">
            <v>50.037916666666661</v>
          </cell>
          <cell r="K21">
            <v>109.85916666666665</v>
          </cell>
        </row>
        <row r="22">
          <cell r="B22">
            <v>4.6783333333333328</v>
          </cell>
          <cell r="C22">
            <v>0</v>
          </cell>
          <cell r="D22">
            <v>7.6250000000000012E-2</v>
          </cell>
          <cell r="E22">
            <v>83.560833333333321</v>
          </cell>
          <cell r="F22">
            <v>121.19666666666666</v>
          </cell>
          <cell r="G22">
            <v>107.44041666666668</v>
          </cell>
          <cell r="H22">
            <v>863.24541666666664</v>
          </cell>
          <cell r="I22">
            <v>0</v>
          </cell>
          <cell r="J22">
            <v>179.13708333333332</v>
          </cell>
          <cell r="K22">
            <v>23.324999999999999</v>
          </cell>
        </row>
        <row r="24">
          <cell r="B24">
            <v>57.469500000000011</v>
          </cell>
          <cell r="C24">
            <v>48.86099999999999</v>
          </cell>
          <cell r="D24">
            <v>22.68</v>
          </cell>
          <cell r="E24">
            <v>101.11829999999999</v>
          </cell>
          <cell r="F24">
            <v>209.76569999999998</v>
          </cell>
          <cell r="G24">
            <v>34.278000000000006</v>
          </cell>
          <cell r="H24">
            <v>0</v>
          </cell>
          <cell r="I24">
            <v>0</v>
          </cell>
          <cell r="J24">
            <v>36.027299999999997</v>
          </cell>
          <cell r="K24">
            <v>79.09859999999999</v>
          </cell>
        </row>
        <row r="25">
          <cell r="B25">
            <v>3.3683999999999998</v>
          </cell>
          <cell r="C25">
            <v>0</v>
          </cell>
          <cell r="D25">
            <v>5.4900000000000004E-2</v>
          </cell>
          <cell r="E25">
            <v>60.163799999999995</v>
          </cell>
          <cell r="F25">
            <v>87.261599999999987</v>
          </cell>
          <cell r="G25">
            <v>77.357100000000003</v>
          </cell>
          <cell r="H25">
            <v>621.5367</v>
          </cell>
          <cell r="I25">
            <v>0</v>
          </cell>
          <cell r="J25">
            <v>128.9787</v>
          </cell>
          <cell r="K25">
            <v>16.794</v>
          </cell>
        </row>
        <row r="27">
          <cell r="B27">
            <v>2.7781521259745565</v>
          </cell>
          <cell r="C27">
            <v>2.1477179688511585</v>
          </cell>
          <cell r="D27">
            <v>3.1604172733176705</v>
          </cell>
          <cell r="E27">
            <v>2.2070169650850158</v>
          </cell>
          <cell r="F27">
            <v>0.98649537204296689</v>
          </cell>
          <cell r="G27">
            <v>2.9775790253552996</v>
          </cell>
          <cell r="H27">
            <v>0</v>
          </cell>
          <cell r="I27">
            <v>0</v>
          </cell>
          <cell r="J27">
            <v>0.51039415350320305</v>
          </cell>
          <cell r="K27">
            <v>1.7123307568860815</v>
          </cell>
        </row>
        <row r="28">
          <cell r="B28">
            <v>2.466964880658425E-2</v>
          </cell>
          <cell r="C28">
            <v>0</v>
          </cell>
          <cell r="D28">
            <v>0</v>
          </cell>
          <cell r="E28">
            <v>0.92566142712285759</v>
          </cell>
          <cell r="F28">
            <v>0.49742695365632195</v>
          </cell>
          <cell r="G28">
            <v>1.3407555493299148</v>
          </cell>
          <cell r="H28">
            <v>0.56967171802764527</v>
          </cell>
          <cell r="I28">
            <v>0</v>
          </cell>
          <cell r="J28">
            <v>2.2893045249254844E-3</v>
          </cell>
          <cell r="K28">
            <v>0</v>
          </cell>
        </row>
        <row r="30">
          <cell r="B30">
            <v>0.47977665200658642</v>
          </cell>
        </row>
        <row r="31">
          <cell r="B31">
            <v>0.37505935540090884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1.4806916084952026</v>
          </cell>
          <cell r="H33">
            <v>1.1407086200180161</v>
          </cell>
          <cell r="I33">
            <v>0</v>
          </cell>
          <cell r="J33">
            <v>1.4592240553332001E-3</v>
          </cell>
          <cell r="K33">
            <v>0</v>
          </cell>
        </row>
        <row r="34">
          <cell r="I34">
            <v>0.98123893321537015</v>
          </cell>
        </row>
        <row r="38">
          <cell r="B38">
            <v>162.17753207969255</v>
          </cell>
          <cell r="C38">
            <v>102.21408334769059</v>
          </cell>
          <cell r="D38">
            <v>71.678263758844764</v>
          </cell>
          <cell r="E38">
            <v>212.67351477963555</v>
          </cell>
          <cell r="F38">
            <v>207.87022538030703</v>
          </cell>
          <cell r="G38">
            <v>97.935410693825361</v>
          </cell>
          <cell r="H38">
            <v>0</v>
          </cell>
          <cell r="I38">
            <v>0</v>
          </cell>
          <cell r="J38">
            <v>17.642666881673492</v>
          </cell>
          <cell r="K38">
            <v>135.3364413499007</v>
          </cell>
        </row>
        <row r="39">
          <cell r="B39">
            <v>0.28483704428146195</v>
          </cell>
          <cell r="C39">
            <v>0</v>
          </cell>
          <cell r="D39">
            <v>0</v>
          </cell>
          <cell r="E39">
            <v>55.2373844876699</v>
          </cell>
          <cell r="F39">
            <v>50.116044183410011</v>
          </cell>
          <cell r="G39">
            <v>103.87921206652601</v>
          </cell>
          <cell r="H39">
            <v>355.32933409905064</v>
          </cell>
          <cell r="I39">
            <v>0</v>
          </cell>
          <cell r="J39">
            <v>0.24040237497125508</v>
          </cell>
          <cell r="K39">
            <v>0</v>
          </cell>
        </row>
        <row r="41">
          <cell r="B41">
            <v>172.75317908801156</v>
          </cell>
          <cell r="C41">
            <v>263.2486511894939</v>
          </cell>
          <cell r="D41">
            <v>73.401029990487658</v>
          </cell>
          <cell r="E41">
            <v>235.29686344359015</v>
          </cell>
          <cell r="F41">
            <v>395.09127516090371</v>
          </cell>
          <cell r="G41">
            <v>70.52716784496819</v>
          </cell>
          <cell r="H41">
            <v>76.442813964209407</v>
          </cell>
          <cell r="I41">
            <v>124.74192952171248</v>
          </cell>
          <cell r="J41">
            <v>676.60502349228852</v>
          </cell>
          <cell r="K41">
            <v>120.98527833650087</v>
          </cell>
        </row>
        <row r="42">
          <cell r="B42">
            <v>7.7859526647355795</v>
          </cell>
          <cell r="C42">
            <v>0</v>
          </cell>
          <cell r="D42">
            <v>3.5763442853947738E-2</v>
          </cell>
          <cell r="E42">
            <v>46.055478136071223</v>
          </cell>
          <cell r="F42">
            <v>158.20276529139116</v>
          </cell>
          <cell r="G42">
            <v>76.339787936787175</v>
          </cell>
          <cell r="H42">
            <v>437.48200060888513</v>
          </cell>
          <cell r="I42">
            <v>0.50633012979122693</v>
          </cell>
          <cell r="J42">
            <v>58.933076514144801</v>
          </cell>
          <cell r="K42">
            <v>28.123638292460733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115.2443381077769</v>
          </cell>
          <cell r="H44">
            <v>695.03613342741403</v>
          </cell>
          <cell r="I44">
            <v>0</v>
          </cell>
          <cell r="J44">
            <v>0.15327267848668816</v>
          </cell>
          <cell r="K44">
            <v>0</v>
          </cell>
        </row>
        <row r="45">
          <cell r="B45">
            <v>20.369788879533697</v>
          </cell>
          <cell r="C45">
            <v>0</v>
          </cell>
          <cell r="D45">
            <v>9.356514377999034E-2</v>
          </cell>
          <cell r="E45">
            <v>120.49140378502562</v>
          </cell>
          <cell r="F45">
            <v>413.89372218248656</v>
          </cell>
          <cell r="G45">
            <v>199.72191334065079</v>
          </cell>
          <cell r="H45">
            <v>1144.5504968660973</v>
          </cell>
          <cell r="I45">
            <v>1.3246725598407498</v>
          </cell>
          <cell r="J45">
            <v>154.18207357613113</v>
          </cell>
          <cell r="K45">
            <v>73.577710937862491</v>
          </cell>
        </row>
        <row r="46">
          <cell r="G46">
            <v>0</v>
          </cell>
        </row>
      </sheetData>
      <sheetData sheetId="11">
        <row r="13">
          <cell r="H13">
            <v>744</v>
          </cell>
          <cell r="I13">
            <v>8.493150684931508E-2</v>
          </cell>
        </row>
        <row r="21">
          <cell r="B21">
            <v>213.58750000000001</v>
          </cell>
          <cell r="C21">
            <v>464.79784946236555</v>
          </cell>
          <cell r="D21">
            <v>145.9</v>
          </cell>
          <cell r="E21">
            <v>320.38790322580644</v>
          </cell>
          <cell r="F21">
            <v>96.839381720430111</v>
          </cell>
          <cell r="G21">
            <v>1.5354166666666667</v>
          </cell>
          <cell r="H21">
            <v>0</v>
          </cell>
          <cell r="I21">
            <v>36.699462365591401</v>
          </cell>
          <cell r="J21">
            <v>20.12654569892473</v>
          </cell>
          <cell r="K21">
            <v>237.98387096774189</v>
          </cell>
        </row>
        <row r="22">
          <cell r="B22">
            <v>4.8802419354838706</v>
          </cell>
          <cell r="C22">
            <v>0</v>
          </cell>
          <cell r="D22">
            <v>8.2392473118279574E-2</v>
          </cell>
          <cell r="E22">
            <v>71.373723118279571</v>
          </cell>
          <cell r="F22">
            <v>180.56518817204304</v>
          </cell>
          <cell r="G22">
            <v>112.12923387096775</v>
          </cell>
          <cell r="H22">
            <v>981.36357526881716</v>
          </cell>
          <cell r="I22">
            <v>0</v>
          </cell>
          <cell r="J22">
            <v>148.37170698924731</v>
          </cell>
          <cell r="K22">
            <v>24.680040322580652</v>
          </cell>
        </row>
        <row r="24">
          <cell r="B24">
            <v>158.9091</v>
          </cell>
          <cell r="C24">
            <v>345.80959999999999</v>
          </cell>
          <cell r="D24">
            <v>108.54960000000001</v>
          </cell>
          <cell r="E24">
            <v>238.36860000000001</v>
          </cell>
          <cell r="F24">
            <v>72.048500000000004</v>
          </cell>
          <cell r="G24">
            <v>1.14235</v>
          </cell>
          <cell r="H24">
            <v>0</v>
          </cell>
          <cell r="I24">
            <v>27.304400000000001</v>
          </cell>
          <cell r="J24">
            <v>14.97415</v>
          </cell>
          <cell r="K24">
            <v>177.05999999999997</v>
          </cell>
        </row>
        <row r="25">
          <cell r="B25">
            <v>3.6308999999999996</v>
          </cell>
          <cell r="C25">
            <v>0</v>
          </cell>
          <cell r="D25">
            <v>6.1300000000000007E-2</v>
          </cell>
          <cell r="E25">
            <v>53.102049999999998</v>
          </cell>
          <cell r="F25">
            <v>134.34050000000002</v>
          </cell>
          <cell r="G25">
            <v>83.424150000000012</v>
          </cell>
          <cell r="H25">
            <v>730.1345</v>
          </cell>
          <cell r="I25">
            <v>0</v>
          </cell>
          <cell r="J25">
            <v>110.38855000000001</v>
          </cell>
          <cell r="K25">
            <v>18.361950000000004</v>
          </cell>
        </row>
        <row r="27">
          <cell r="B27">
            <v>1.2526080185682336</v>
          </cell>
          <cell r="C27">
            <v>1.1931186195836414</v>
          </cell>
          <cell r="D27">
            <v>2.042210038973268</v>
          </cell>
          <cell r="E27">
            <v>1.1856376700139193</v>
          </cell>
          <cell r="F27">
            <v>0.45284107999810719</v>
          </cell>
          <cell r="G27">
            <v>0.28494282093288176</v>
          </cell>
          <cell r="H27">
            <v>0</v>
          </cell>
          <cell r="I27">
            <v>7.7643506320196384E-2</v>
          </cell>
          <cell r="J27">
            <v>0.93579336981800909</v>
          </cell>
          <cell r="K27">
            <v>1.0705584369211301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0.2559132506879796</v>
          </cell>
          <cell r="F28">
            <v>0.31982802447218805</v>
          </cell>
          <cell r="G28">
            <v>0.45369888426504024</v>
          </cell>
          <cell r="H28">
            <v>0.70246443464685915</v>
          </cell>
          <cell r="I28">
            <v>0</v>
          </cell>
          <cell r="J28">
            <v>3.795447463419592E-2</v>
          </cell>
          <cell r="K28">
            <v>0</v>
          </cell>
        </row>
        <row r="30">
          <cell r="B30">
            <v>0.42500809283116442</v>
          </cell>
        </row>
        <row r="31">
          <cell r="B31">
            <v>0.38350352205047711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0.51254982227502299</v>
          </cell>
          <cell r="H33">
            <v>1.146135129353832</v>
          </cell>
          <cell r="I33">
            <v>0</v>
          </cell>
          <cell r="J33">
            <v>2.6510972422366046E-2</v>
          </cell>
          <cell r="K33">
            <v>0</v>
          </cell>
        </row>
        <row r="34">
          <cell r="I34">
            <v>1.0084829544968812</v>
          </cell>
        </row>
        <row r="38">
          <cell r="B38">
            <v>198.80500781724146</v>
          </cell>
          <cell r="C38">
            <v>408.5036649877872</v>
          </cell>
          <cell r="D38">
            <v>221.68108284653263</v>
          </cell>
          <cell r="E38">
            <v>280.19815261879762</v>
          </cell>
          <cell r="F38">
            <v>45.94433118646446</v>
          </cell>
          <cell r="G38">
            <v>1.4203829737862292</v>
          </cell>
          <cell r="H38">
            <v>0</v>
          </cell>
          <cell r="I38">
            <v>7.2664075593390898</v>
          </cell>
          <cell r="J38">
            <v>13.604001963494479</v>
          </cell>
          <cell r="K38">
            <v>189.50326723341459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13.178423274772435</v>
          </cell>
          <cell r="F39">
            <v>43.192556531298578</v>
          </cell>
          <cell r="G39">
            <v>37.561345272518494</v>
          </cell>
          <cell r="H39">
            <v>494.79937802542088</v>
          </cell>
          <cell r="I39">
            <v>0</v>
          </cell>
          <cell r="J39">
            <v>3.9927241674456795</v>
          </cell>
          <cell r="K39">
            <v>0</v>
          </cell>
        </row>
        <row r="41">
          <cell r="B41">
            <v>153.03266398571739</v>
          </cell>
          <cell r="C41">
            <v>233.19769045553164</v>
          </cell>
          <cell r="D41">
            <v>65.021988122239847</v>
          </cell>
          <cell r="E41">
            <v>208.436718967188</v>
          </cell>
          <cell r="F41">
            <v>349.98991436553558</v>
          </cell>
          <cell r="G41">
            <v>62.476189646181176</v>
          </cell>
          <cell r="H41">
            <v>67.716539430789439</v>
          </cell>
          <cell r="I41">
            <v>110.50210413610276</v>
          </cell>
          <cell r="J41">
            <v>599.36766291514971</v>
          </cell>
          <cell r="K41">
            <v>107.17429076923472</v>
          </cell>
        </row>
        <row r="42">
          <cell r="B42">
            <v>7.961247270455786</v>
          </cell>
          <cell r="C42">
            <v>0</v>
          </cell>
          <cell r="D42">
            <v>3.6568628665399477E-2</v>
          </cell>
          <cell r="E42">
            <v>47.092381033989426</v>
          </cell>
          <cell r="F42">
            <v>161.76457622959609</v>
          </cell>
          <cell r="G42">
            <v>78.058518271194856</v>
          </cell>
          <cell r="H42">
            <v>447.33156406099312</v>
          </cell>
          <cell r="I42">
            <v>0.5177297547681442</v>
          </cell>
          <cell r="J42">
            <v>60.259908419791465</v>
          </cell>
          <cell r="K42">
            <v>28.756819907887628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42.36888229967176</v>
          </cell>
          <cell r="H44">
            <v>804.13965372678012</v>
          </cell>
          <cell r="I44">
            <v>0</v>
          </cell>
          <cell r="J44">
            <v>2.7903916245966895</v>
          </cell>
          <cell r="K44">
            <v>0</v>
          </cell>
        </row>
        <row r="45">
          <cell r="B45">
            <v>20.935354454796187</v>
          </cell>
          <cell r="C45">
            <v>0</v>
          </cell>
          <cell r="D45">
            <v>9.6162972588104134E-2</v>
          </cell>
          <cell r="E45">
            <v>123.83683807002856</v>
          </cell>
          <cell r="F45">
            <v>425.38544860478964</v>
          </cell>
          <cell r="G45">
            <v>205.26717644961312</v>
          </cell>
          <cell r="H45">
            <v>1176.3288507805767</v>
          </cell>
          <cell r="I45">
            <v>1.3614519885707903</v>
          </cell>
          <cell r="J45">
            <v>158.46292664009499</v>
          </cell>
          <cell r="K45">
            <v>75.620590255815557</v>
          </cell>
        </row>
        <row r="46">
          <cell r="G46">
            <v>0</v>
          </cell>
        </row>
      </sheetData>
      <sheetData sheetId="12">
        <row r="13">
          <cell r="H13">
            <v>720</v>
          </cell>
          <cell r="I13">
            <v>8.2191780821917804E-2</v>
          </cell>
        </row>
        <row r="21">
          <cell r="B21">
            <v>213.50805555555559</v>
          </cell>
          <cell r="C21">
            <v>470.63013888888889</v>
          </cell>
          <cell r="D21">
            <v>145.9</v>
          </cell>
          <cell r="E21">
            <v>320.73611111111109</v>
          </cell>
          <cell r="F21">
            <v>96.81236111111113</v>
          </cell>
          <cell r="G21">
            <v>1.5354166666666667</v>
          </cell>
          <cell r="H21">
            <v>0</v>
          </cell>
          <cell r="I21">
            <v>37.922777777777782</v>
          </cell>
          <cell r="J21">
            <v>20.240694444444447</v>
          </cell>
          <cell r="K21">
            <v>238.06347222222215</v>
          </cell>
        </row>
        <row r="22">
          <cell r="B22">
            <v>4.8902777777777775</v>
          </cell>
          <cell r="C22">
            <v>0</v>
          </cell>
          <cell r="D22">
            <v>8.4166666666666667E-2</v>
          </cell>
          <cell r="E22">
            <v>71.789722222222224</v>
          </cell>
          <cell r="F22">
            <v>181.61861111111114</v>
          </cell>
          <cell r="G22">
            <v>112.71277777777776</v>
          </cell>
          <cell r="H22">
            <v>986.46208333333323</v>
          </cell>
          <cell r="I22">
            <v>0</v>
          </cell>
          <cell r="J22">
            <v>149.05166666666668</v>
          </cell>
          <cell r="K22">
            <v>24.858611111111113</v>
          </cell>
        </row>
        <row r="24">
          <cell r="B24">
            <v>153.72580000000002</v>
          </cell>
          <cell r="C24">
            <v>338.8537</v>
          </cell>
          <cell r="D24">
            <v>105.048</v>
          </cell>
          <cell r="E24">
            <v>230.92999999999998</v>
          </cell>
          <cell r="F24">
            <v>69.704900000000009</v>
          </cell>
          <cell r="G24">
            <v>1.1054999999999999</v>
          </cell>
          <cell r="H24">
            <v>0</v>
          </cell>
          <cell r="I24">
            <v>27.304400000000001</v>
          </cell>
          <cell r="J24">
            <v>14.573300000000001</v>
          </cell>
          <cell r="K24">
            <v>171.40569999999997</v>
          </cell>
        </row>
        <row r="25">
          <cell r="B25">
            <v>3.5209999999999999</v>
          </cell>
          <cell r="C25">
            <v>0</v>
          </cell>
          <cell r="D25">
            <v>6.0600000000000001E-2</v>
          </cell>
          <cell r="E25">
            <v>51.688600000000008</v>
          </cell>
          <cell r="F25">
            <v>130.76540000000003</v>
          </cell>
          <cell r="G25">
            <v>81.153199999999984</v>
          </cell>
          <cell r="H25">
            <v>710.2527</v>
          </cell>
          <cell r="I25">
            <v>0</v>
          </cell>
          <cell r="J25">
            <v>107.3172</v>
          </cell>
          <cell r="K25">
            <v>17.898199999999999</v>
          </cell>
        </row>
        <row r="27">
          <cell r="B27">
            <v>1.2469296473438667</v>
          </cell>
          <cell r="C27">
            <v>1.1881736641517742</v>
          </cell>
          <cell r="D27">
            <v>2.0345242198852529</v>
          </cell>
          <cell r="E27">
            <v>1.1813053866853525</v>
          </cell>
          <cell r="F27">
            <v>0.44471940513631347</v>
          </cell>
          <cell r="G27">
            <v>0.28353547124188316</v>
          </cell>
          <cell r="H27">
            <v>0</v>
          </cell>
          <cell r="I27">
            <v>8.0231623197536267E-2</v>
          </cell>
          <cell r="J27">
            <v>0.93131794176186133</v>
          </cell>
          <cell r="K27">
            <v>1.0651844536614783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0.25586195825943203</v>
          </cell>
          <cell r="F28">
            <v>0.32074745730949783</v>
          </cell>
          <cell r="G28">
            <v>0.45123388320433461</v>
          </cell>
          <cell r="H28">
            <v>0.69837225872034281</v>
          </cell>
          <cell r="I28">
            <v>0</v>
          </cell>
          <cell r="J28">
            <v>3.7374251052317384E-2</v>
          </cell>
          <cell r="K28">
            <v>0</v>
          </cell>
        </row>
        <row r="30">
          <cell r="B30">
            <v>0.41131433112663612</v>
          </cell>
        </row>
        <row r="31">
          <cell r="B31">
            <v>0.37112158033185383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0.51009804925974722</v>
          </cell>
          <cell r="H33">
            <v>1.1402665925086488</v>
          </cell>
          <cell r="I33">
            <v>0</v>
          </cell>
          <cell r="J33">
            <v>2.6250703725814312E-2</v>
          </cell>
          <cell r="K33">
            <v>0</v>
          </cell>
        </row>
        <row r="34">
          <cell r="I34">
            <v>0.97595124628730434</v>
          </cell>
        </row>
        <row r="38">
          <cell r="B38">
            <v>191.42509096413201</v>
          </cell>
          <cell r="C38">
            <v>399.15562858321522</v>
          </cell>
          <cell r="D38">
            <v>213.72270025050608</v>
          </cell>
          <cell r="E38">
            <v>270.4570070607665</v>
          </cell>
          <cell r="F38">
            <v>43.64846592238456</v>
          </cell>
          <cell r="G38">
            <v>1.3677751132708447</v>
          </cell>
          <cell r="H38">
            <v>0</v>
          </cell>
          <cell r="I38">
            <v>7.2664075593390898</v>
          </cell>
          <cell r="J38">
            <v>13.175104231934997</v>
          </cell>
          <cell r="K38">
            <v>182.5392380920818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12.81891187181829</v>
          </cell>
          <cell r="F39">
            <v>42.100405289831983</v>
          </cell>
          <cell r="G39">
            <v>36.362308071108487</v>
          </cell>
          <cell r="H39">
            <v>478.52099221961765</v>
          </cell>
          <cell r="I39">
            <v>0</v>
          </cell>
          <cell r="J39">
            <v>3.8252220015706531</v>
          </cell>
          <cell r="K39">
            <v>0</v>
          </cell>
        </row>
        <row r="41">
          <cell r="B41">
            <v>148.10195120876784</v>
          </cell>
          <cell r="C41">
            <v>225.68406034587397</v>
          </cell>
          <cell r="D41">
            <v>62.926979519064055</v>
          </cell>
          <cell r="E41">
            <v>201.72088741443613</v>
          </cell>
          <cell r="F41">
            <v>338.71323853947354</v>
          </cell>
          <cell r="G41">
            <v>60.463206675615496</v>
          </cell>
          <cell r="H41">
            <v>65.534712378406937</v>
          </cell>
          <cell r="I41">
            <v>106.94172609292536</v>
          </cell>
          <cell r="J41">
            <v>580.05603547133853</v>
          </cell>
          <cell r="K41">
            <v>103.72113488020382</v>
          </cell>
        </row>
        <row r="42">
          <cell r="B42">
            <v>7.7042073893530576</v>
          </cell>
          <cell r="C42">
            <v>0</v>
          </cell>
          <cell r="D42">
            <v>3.5387959902713755E-2</v>
          </cell>
          <cell r="E42">
            <v>45.571938368335609</v>
          </cell>
          <cell r="F42">
            <v>156.54178311337267</v>
          </cell>
          <cell r="G42">
            <v>75.538291028669519</v>
          </cell>
          <cell r="H42">
            <v>432.88884571126499</v>
          </cell>
          <cell r="I42">
            <v>0.50101413344800272</v>
          </cell>
          <cell r="J42">
            <v>58.314333917544189</v>
          </cell>
          <cell r="K42">
            <v>27.828366197192519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41.030513856106694</v>
          </cell>
          <cell r="H44">
            <v>778.18584968187304</v>
          </cell>
          <cell r="I44">
            <v>0</v>
          </cell>
          <cell r="J44">
            <v>2.6858245114220125</v>
          </cell>
          <cell r="K44">
            <v>0</v>
          </cell>
        </row>
        <row r="45">
          <cell r="B45">
            <v>20.260020440125345</v>
          </cell>
          <cell r="C45">
            <v>0</v>
          </cell>
          <cell r="D45">
            <v>9.3060941214294313E-2</v>
          </cell>
          <cell r="E45">
            <v>119.84210135809218</v>
          </cell>
          <cell r="F45">
            <v>411.66333735947387</v>
          </cell>
          <cell r="G45">
            <v>198.64565462865789</v>
          </cell>
          <cell r="H45">
            <v>1138.3827588199131</v>
          </cell>
          <cell r="I45">
            <v>1.3175341824878615</v>
          </cell>
          <cell r="J45">
            <v>153.35121932912415</v>
          </cell>
          <cell r="K45">
            <v>73.181216376595685</v>
          </cell>
        </row>
        <row r="46">
          <cell r="G4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1-2012 Contraloría Historico"/>
      <sheetName val="2001-2012 Contraloría Var Hist "/>
      <sheetName val="Variacion PIB por Act 2001-09"/>
      <sheetName val="2001-12Contraloría Estruc. Hist"/>
      <sheetName val="Evalua Estimado 2006"/>
      <sheetName val="Variacion PIB- Esc. Exp. Canal"/>
      <sheetName val="PIB 2011 Estimado "/>
      <sheetName val="IMAE 2005 - 13"/>
      <sheetName val="Pronosticos Publicados 2013 "/>
      <sheetName val="Pronosticos Publicados 2014-17 "/>
      <sheetName val="PIB Mundial vs Panama  2001-13"/>
      <sheetName val="PIB 2013, tres metodologías (M)"/>
      <sheetName val="Var.  Estructural 2012  Mod"/>
      <sheetName val="TC Estimadas a 2013 "/>
      <sheetName val="PIB 2012 Historico Estimado "/>
      <sheetName val="PIB Estructural II TRIM 2005-12"/>
      <sheetName val="VALIDAR PIB Estruc II Trim 2011"/>
      <sheetName val="AjustPonderadoXActiv.2012 "/>
      <sheetName val="PIB Estructural II TRIM 2005-13"/>
      <sheetName val="VALIDAR PIBEstruc IITrim E 2012"/>
      <sheetName val="Estimado de Impuestos Netos"/>
      <sheetName val="PIB Estruc. Est. II Trim 2012 V"/>
      <sheetName val="PIB Estruc. Est. II Trim 201"/>
      <sheetName val="PIB Estruc. Est. II Trim 2012"/>
      <sheetName val="PIB Pre Est Estruc II Trim 2013"/>
      <sheetName val="PIBMOD; 2014 Tres Metodologias "/>
      <sheetName val="PIBOPT; 2014 Tres Metodologias "/>
      <sheetName val="PIBPES; 2014 Tres Metodologias"/>
      <sheetName val="PIB Estructural 2013-14 Est. 2T"/>
      <sheetName val="PIB Estruc. III TRIM 2005 -13"/>
      <sheetName val="PIB Estructural III Trim2011"/>
      <sheetName val="PIB Estructural III Trim2011Mod"/>
      <sheetName val="PIB Estructural E III Trim2013"/>
      <sheetName val="PIBMOD; 2014 Tres Metodolog III"/>
      <sheetName val="PIBOPT; 2014 Tres Metodolog III"/>
      <sheetName val="PIBPES; 2014 Tres Metodolog III"/>
      <sheetName val="PIB Estructural 2013-14 Est 3T"/>
      <sheetName val="PIB Estructural 2012 Est. 3T"/>
      <sheetName val="Analisis IMAE 2008"/>
      <sheetName val="Analisis IMAE 2008 Anexo"/>
      <sheetName val="PIB Estructural III Trim 2008 "/>
      <sheetName val="Tasas PIB INTRACORP"/>
      <sheetName val="Empalme de Bases 96-82 (2)"/>
      <sheetName val="Tasas PIB INTRACORP2005-21"/>
      <sheetName val="Tasas PIB INTRACORP2005-24"/>
      <sheetName val="Comp.Tasas PIB INTRACORP- Real "/>
      <sheetName val="Gráfico TASAS 2009-2024"/>
      <sheetName val="Premisas Escenarios"/>
      <sheetName val="Estimacion PIB 2012-2026"/>
      <sheetName val="Pronosticos 2012-2026 "/>
      <sheetName val="Estimacion PIB 2013-2027"/>
      <sheetName val="Estimacion PIB 2T 2014-2028"/>
      <sheetName val="Estimacion PIB 3T 2014-2028"/>
      <sheetName val="Pronosticos 2014-28"/>
      <sheetName val="Pronosticos 2011-25 mOD +,-5%"/>
      <sheetName val="Estimacion PIB 2010-2024 (2)"/>
      <sheetName val="Pronosticos 2010-24 % (2)"/>
      <sheetName val="Estimacion PIB 2010-2024 (3)"/>
      <sheetName val="Empalme de Bases PIB96-82 13-27"/>
      <sheetName val="Empalme de Bases 96-82"/>
      <sheetName val="Empalme de Bases 96-82 3T"/>
      <sheetName val="Comp. Hist. Manuf. 1982=1"/>
      <sheetName val="Pronosticos 2010-24 % (3)"/>
      <sheetName val="Tasas PIB INTRACORP (3)"/>
      <sheetName val="Empalme de Bases 96-82 11-26"/>
      <sheetName val="Mat.  Cons.  2002-2006"/>
      <sheetName val="Produccion fisica Man 2002-06"/>
      <sheetName val="Carac.Consumo ELec. Sector Ind."/>
      <sheetName val="industria-Algunos indicadores"/>
      <sheetName val="Impacto Sector Sec al PIB "/>
      <sheetName val="PIB MANUFACTURA 1986-2010"/>
      <sheetName val="Est. PIB MANUFACTURA ACP1996Mod"/>
      <sheetName val="Est. PIB MANUFACTURA ACP19963T"/>
      <sheetName val="Impacto Man al PIB 2013-27"/>
      <sheetName val="Est. PIB MANUF. EMPALM2014-28 2"/>
      <sheetName val="Est. PIBMANUF.EMPALM2014- 28 3T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1-2012 Contraloría Historico"/>
      <sheetName val="2001-2012 Contraloría Var Hist "/>
      <sheetName val="Variacion PIB por Act 2001-09"/>
      <sheetName val="2001-12Contraloría Estruc. Hist"/>
      <sheetName val="Evalua Estimado 2006"/>
      <sheetName val="Variacion PIB- Esc. Exp. Canal"/>
      <sheetName val="PIB 2011 Estimado "/>
      <sheetName val="IMAE 2005 - 13"/>
      <sheetName val="Pronosticos Publicados 2013 "/>
      <sheetName val="Pronosticos Publicados 2014-17 "/>
      <sheetName val="PIB Mundial vs Panama  2001-13"/>
      <sheetName val="PIB 2013, tres metodologías (M)"/>
      <sheetName val="Var.  Estructural 2012  Mod"/>
      <sheetName val="TC Estimadas a 2013 "/>
      <sheetName val="PIB 2012 Historico Estimado "/>
      <sheetName val="PIB Estructural II TRIM 2005-12"/>
      <sheetName val="VALIDAR PIB Estruc II Trim 2011"/>
      <sheetName val="AjustPonderadoXActiv.2012 "/>
      <sheetName val="PIB Estructural II TRIM 2005-13"/>
      <sheetName val="VALIDAR PIBEstruc IITrim E 2012"/>
      <sheetName val="Estimado de Impuestos Netos"/>
      <sheetName val="PIB Estruc. Est. II Trim 2012 V"/>
      <sheetName val="PIB Estruc. Est. II Trim 201"/>
      <sheetName val="PIB Estruc. Est. II Trim 2012"/>
      <sheetName val="PIB Pre Est Estruc II Trim 2013"/>
      <sheetName val="PIBMOD; 2014 Tres Metodologias "/>
      <sheetName val="PIBOPT; 2014 Tres Metodologias "/>
      <sheetName val="PIBPES; 2014 Tres Metodologias"/>
      <sheetName val="PIB Estructural 2013-14 Est. 2T"/>
      <sheetName val="PIB Estruc. III TRIM 2005 -13"/>
      <sheetName val="PIB Estructural III Trim2011"/>
      <sheetName val="PIB Estructural III Trim2011Mod"/>
      <sheetName val="PIB Estructural E III Trim2013"/>
      <sheetName val="PIBMOD; 2014 Tres Metodolog III"/>
      <sheetName val="PIBOPT; 2014 Tres Metodolog III"/>
      <sheetName val="PIBPES; 2014 Tres Metodolog III"/>
      <sheetName val="PIB Estructural 2013-14 Est 3T"/>
      <sheetName val="PIB Estructural 2012 Est. 3T"/>
      <sheetName val="Analisis IMAE 2008"/>
      <sheetName val="Analisis IMAE 2008 Anexo"/>
      <sheetName val="PIB Estructural III Trim 2008 "/>
      <sheetName val="Tasas PIB INTRACORP"/>
      <sheetName val="Empalme de Bases 96-82 (2)"/>
      <sheetName val="Tasas PIB INTRACORP2005-21"/>
      <sheetName val="Tasas PIB INTRACORP2005-24"/>
      <sheetName val="Comp.Tasas PIB INTRACORP- Real "/>
      <sheetName val="Gráfico TASAS 2009-2024"/>
      <sheetName val="Premisas Escenarios"/>
      <sheetName val="Estimacion PIB 2012-2026"/>
      <sheetName val="Pronosticos 2012-2026 "/>
      <sheetName val="Estimacion PIB 2013-2027"/>
      <sheetName val="Estimacion PIB 2T 2014-2028"/>
      <sheetName val="Estimacion PIB 3T 2014-2028"/>
      <sheetName val="Pronosticos 2014-28"/>
      <sheetName val="Pronosticos 2011-25 mOD +,-5%"/>
      <sheetName val="Estimacion PIB 2010-2024 (2)"/>
      <sheetName val="Pronosticos 2010-24 % (2)"/>
      <sheetName val="Estimacion PIB 2010-2024 (3)"/>
      <sheetName val="Empalme de Bases PIB96-82 13-27"/>
      <sheetName val="Empalme de Bases 96-82"/>
      <sheetName val="Empalme de Bases 96-82 3T"/>
      <sheetName val="Comp. Hist. Manuf. 1982=1"/>
      <sheetName val="Pronosticos 2010-24 % (3)"/>
      <sheetName val="Tasas PIB INTRACORP (3)"/>
      <sheetName val="Empalme de Bases 96-82 11-26"/>
      <sheetName val="Mat.  Cons.  2002-2006"/>
      <sheetName val="Produccion fisica Man 2002-06"/>
      <sheetName val="Carac.Consumo ELec. Sector Ind."/>
      <sheetName val="industria-Algunos indicadores"/>
      <sheetName val="Impacto Sector Sec al PIB "/>
      <sheetName val="PIB MANUFACTURA 1986-2010"/>
      <sheetName val="Est. PIB MANUFACTURA ACP1996Mod"/>
      <sheetName val="Est. PIB MANUFACTURA ACP19963T"/>
      <sheetName val="Impacto Man al PIB 2013-27"/>
      <sheetName val="Est. PIB MANUF. EMPALM2014-28 2"/>
      <sheetName val="Est. PIBMANUF.EMPALM2014- 28 3T"/>
      <sheetName val="Hoja3"/>
      <sheetName val="Hoja1"/>
    </sheetNames>
    <sheetDataSet>
      <sheetData sheetId="0">
        <row r="43">
          <cell r="H43">
            <v>14041.199999999999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9">
          <cell r="AB69">
            <v>6.25</v>
          </cell>
        </row>
      </sheetData>
      <sheetData sheetId="10"/>
      <sheetData sheetId="11">
        <row r="8">
          <cell r="G8">
            <v>2004</v>
          </cell>
        </row>
      </sheetData>
      <sheetData sheetId="12"/>
      <sheetData sheetId="13"/>
      <sheetData sheetId="14"/>
      <sheetData sheetId="15">
        <row r="45">
          <cell r="M45">
            <v>8.5277611600148129E-2</v>
          </cell>
        </row>
      </sheetData>
      <sheetData sheetId="16">
        <row r="14">
          <cell r="K14">
            <v>2.9381495383871546E-2</v>
          </cell>
        </row>
      </sheetData>
      <sheetData sheetId="17"/>
      <sheetData sheetId="18">
        <row r="13">
          <cell r="AK13">
            <v>730.29380429282003</v>
          </cell>
        </row>
      </sheetData>
      <sheetData sheetId="19"/>
      <sheetData sheetId="20">
        <row r="27">
          <cell r="N27">
            <v>0.30833039181080124</v>
          </cell>
        </row>
      </sheetData>
      <sheetData sheetId="21"/>
      <sheetData sheetId="22"/>
      <sheetData sheetId="23"/>
      <sheetData sheetId="24"/>
      <sheetData sheetId="25">
        <row r="15">
          <cell r="R15">
            <v>2.6338961472462064E-2</v>
          </cell>
        </row>
      </sheetData>
      <sheetData sheetId="26"/>
      <sheetData sheetId="27"/>
      <sheetData sheetId="28">
        <row r="42">
          <cell r="G42">
            <v>27697.120686863906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9">
          <cell r="F19">
            <v>2.3443464982300322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 Existente"/>
      <sheetName val="IMPA Indicativo"/>
      <sheetName val="Activos Reconocidos"/>
      <sheetName val="Tasa de Depreciación"/>
      <sheetName val="OMT%_ADMT%"/>
      <sheetName val="Base de Capital"/>
      <sheetName val="Plan de Expansión"/>
      <sheetName val="Tercera Línea"/>
      <sheetName val="VNR"/>
      <sheetName val="CND_HID"/>
      <sheetName val="GEN_OBL"/>
      <sheetName val="Anexo Activos_Depreciaciones"/>
      <sheetName val="Bienes e Instalaciones 31_12_16"/>
      <sheetName val="Conso Altas 2013_2016"/>
      <sheetName val="IMP RevTar_2013_2017"/>
      <sheetName val="Cuadro Informe"/>
    </sheetNames>
    <sheetDataSet>
      <sheetData sheetId="0"/>
      <sheetData sheetId="1"/>
      <sheetData sheetId="2">
        <row r="58">
          <cell r="C58">
            <v>204259966.1240339</v>
          </cell>
        </row>
      </sheetData>
      <sheetData sheetId="3"/>
      <sheetData sheetId="4">
        <row r="13">
          <cell r="G13">
            <v>9.300000000000001E-3</v>
          </cell>
        </row>
      </sheetData>
      <sheetData sheetId="5"/>
      <sheetData sheetId="6"/>
      <sheetData sheetId="7"/>
      <sheetData sheetId="8">
        <row r="32">
          <cell r="F32">
            <v>347773847.60483652</v>
          </cell>
        </row>
        <row r="38">
          <cell r="F38">
            <v>36672308.815588608</v>
          </cell>
        </row>
        <row r="48">
          <cell r="G48">
            <v>67037095.958703928</v>
          </cell>
        </row>
        <row r="59">
          <cell r="Q59">
            <v>368338574.5715453</v>
          </cell>
        </row>
        <row r="69">
          <cell r="Q69">
            <v>6933848.1310749892</v>
          </cell>
        </row>
      </sheetData>
      <sheetData sheetId="9">
        <row r="9">
          <cell r="D9">
            <v>2017</v>
          </cell>
        </row>
      </sheetData>
      <sheetData sheetId="10">
        <row r="9">
          <cell r="F9">
            <v>40000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 Base capital completa"/>
      <sheetName val="IMP O&amp;M promedio anterior"/>
      <sheetName val="IMP tasa 12.24%"/>
      <sheetName val="Graficas"/>
      <sheetName val="IMP"/>
      <sheetName val="Hidrometeorología"/>
      <sheetName val="Activos"/>
      <sheetName val="Hoja1"/>
      <sheetName val="Bienes 2004"/>
      <sheetName val="VNR"/>
      <sheetName val="VNR Líneas"/>
      <sheetName val="Compara Valor libros-vs-VNR"/>
      <sheetName val="VNR SE"/>
      <sheetName val="Inversión-Resumen"/>
      <sheetName val="Inversiones"/>
      <sheetName val="Retiros"/>
      <sheetName val="CND"/>
      <sheetName val="Informática"/>
      <sheetName val="Hoja2"/>
      <sheetName val="RRT"/>
      <sheetName val="#¡REF"/>
      <sheetName val="IMP-Ajuste-Fechas"/>
      <sheetName val="IMP-APROBADO"/>
      <sheetName val="Resumen Anual"/>
      <sheetName val="Resumen Anual (original)"/>
      <sheetName val="Justificacion"/>
      <sheetName val="Cuadro Resumen feb"/>
      <sheetName val="Liq Estamp.-Febrero2014"/>
      <sheetName val="Feb Estampilla Generación Final"/>
      <sheetName val="Estampilla Demanda Final"/>
      <sheetName val="AP Febrero Estampilla Postal"/>
      <sheetName val="ANALISIS 96 339"/>
      <sheetName val="Cap.Act. Año 1"/>
      <sheetName val="ESTAMP.-FEB 904"/>
      <sheetName val="Cargos Act. Año 1 (08)"/>
      <sheetName val="Cambio a SE"/>
      <sheetName val="Facturacion"/>
      <sheetName val="SEG ELEC GENERACION"/>
      <sheetName val="SEG ELECT DEMANDA"/>
      <sheetName val="LIQ SEG ELEC FEBRERO2014"/>
      <sheetName val=" LIQ DE ENERO 585"/>
      <sheetName val="SE Ajuste Parcial"/>
      <sheetName val="Balance Enero"/>
      <sheetName val="Balance Ajuste Parcial"/>
      <sheetName val="capacidades instaladas"/>
      <sheetName val="Ajuste Parcial Febrero"/>
      <sheetName val="Ajuste Parcial Enero"/>
      <sheetName val="M8"/>
      <sheetName val="Ajuste distibucion"/>
    </sheetNames>
    <sheetDataSet>
      <sheetData sheetId="0"/>
      <sheetData sheetId="1">
        <row r="14">
          <cell r="D14">
            <v>2000.9</v>
          </cell>
        </row>
      </sheetData>
      <sheetData sheetId="2"/>
      <sheetData sheetId="3"/>
      <sheetData sheetId="4">
        <row r="14">
          <cell r="D14">
            <v>2000.9</v>
          </cell>
        </row>
      </sheetData>
      <sheetData sheetId="5"/>
      <sheetData sheetId="6"/>
      <sheetData sheetId="7">
        <row r="14">
          <cell r="D14">
            <v>2000.9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>
        <row r="14">
          <cell r="D14">
            <v>63657.810000000005</v>
          </cell>
        </row>
      </sheetData>
      <sheetData sheetId="24">
        <row r="14">
          <cell r="D14">
            <v>2000.9</v>
          </cell>
        </row>
      </sheetData>
      <sheetData sheetId="25"/>
      <sheetData sheetId="26">
        <row r="14">
          <cell r="D14">
            <v>2000.9</v>
          </cell>
        </row>
      </sheetData>
      <sheetData sheetId="27"/>
      <sheetData sheetId="28"/>
      <sheetData sheetId="29">
        <row r="14">
          <cell r="D14">
            <v>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 Base capital completa"/>
      <sheetName val="IMP O&amp;M promedio anterior"/>
      <sheetName val="IMP tasa 12.24%"/>
      <sheetName val="Graficas"/>
      <sheetName val="IMP"/>
      <sheetName val="Hidrometeorología"/>
      <sheetName val="Activos"/>
      <sheetName val="Hoja1"/>
      <sheetName val="Bienes 2004"/>
      <sheetName val="VNR"/>
      <sheetName val="VNR Líneas"/>
      <sheetName val="Compara Valor libros-vs-VNR"/>
      <sheetName val="VNR SE"/>
      <sheetName val="Inversión-Resumen"/>
      <sheetName val="Inversiones"/>
      <sheetName val="Retiros"/>
      <sheetName val="CND"/>
      <sheetName val="Informática"/>
      <sheetName val="Hoja2"/>
      <sheetName val="RRT"/>
      <sheetName val="#¡REF"/>
      <sheetName val="IMP-Ajuste-Fechas"/>
      <sheetName val="IMP-APROBADO"/>
    </sheetNames>
    <sheetDataSet>
      <sheetData sheetId="0"/>
      <sheetData sheetId="1">
        <row r="14">
          <cell r="D14">
            <v>2000.9</v>
          </cell>
        </row>
      </sheetData>
      <sheetData sheetId="2"/>
      <sheetData sheetId="3"/>
      <sheetData sheetId="4">
        <row r="14">
          <cell r="D14">
            <v>2000.9</v>
          </cell>
        </row>
      </sheetData>
      <sheetData sheetId="5"/>
      <sheetData sheetId="6"/>
      <sheetData sheetId="7">
        <row r="14">
          <cell r="D14">
            <v>2000.9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 Base capital completa"/>
      <sheetName val="IMP O&amp;M promedio anterior"/>
      <sheetName val="IMP tasa 12.24%"/>
      <sheetName val="Graficas"/>
      <sheetName val="IMP"/>
      <sheetName val="Hidrometeorología"/>
      <sheetName val="Activos"/>
      <sheetName val="Hoja1"/>
      <sheetName val="Bienes 2004"/>
      <sheetName val="VNR"/>
      <sheetName val="VNR Líneas"/>
      <sheetName val="Compara Valor libros-vs-VNR"/>
      <sheetName val="VNR SE"/>
      <sheetName val="Inversión-Resumen"/>
      <sheetName val="Inversiones"/>
      <sheetName val="Retiros"/>
      <sheetName val="CND"/>
      <sheetName val="Informática"/>
      <sheetName val="Hoja2"/>
      <sheetName val="RRT"/>
      <sheetName val="#¡REF"/>
      <sheetName val="IMP-Ajuste-Fechas"/>
      <sheetName val="IMP-APROBADO"/>
      <sheetName val="Resumen Anual"/>
      <sheetName val="Resumen Anual (original)"/>
      <sheetName val="Justificacion"/>
      <sheetName val="Cuadro Resumen feb"/>
      <sheetName val="Liq Estamp.-Febrero2014"/>
      <sheetName val="Feb Estampilla Generación Final"/>
      <sheetName val="Estampilla Demanda Final"/>
      <sheetName val="AP Febrero Estampilla Postal"/>
      <sheetName val="ANALISIS 96 339"/>
      <sheetName val="Cap.Act. Año 1"/>
      <sheetName val="ESTAMP.-FEB 904"/>
      <sheetName val="Cargos Act. Año 1 (08)"/>
      <sheetName val="Cambio a SE"/>
      <sheetName val="Facturacion"/>
      <sheetName val="SEG ELEC GENERACION"/>
      <sheetName val="SEG ELECT DEMANDA"/>
      <sheetName val="LIQ SEG ELEC FEBRERO2014"/>
      <sheetName val=" LIQ DE ENERO 585"/>
      <sheetName val="SE Ajuste Parcial"/>
      <sheetName val="Balance Enero"/>
      <sheetName val="Balance Ajuste Parcial"/>
      <sheetName val="capacidades instaladas"/>
      <sheetName val="Ajuste Parcial Febrero"/>
      <sheetName val="Ajuste Parcial Enero"/>
      <sheetName val="M8"/>
      <sheetName val="Ajuste distibucion"/>
    </sheetNames>
    <sheetDataSet>
      <sheetData sheetId="0"/>
      <sheetData sheetId="1">
        <row r="14">
          <cell r="D14">
            <v>2000.9</v>
          </cell>
        </row>
      </sheetData>
      <sheetData sheetId="2"/>
      <sheetData sheetId="3"/>
      <sheetData sheetId="4">
        <row r="14">
          <cell r="D14">
            <v>2000.9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PT"/>
      <sheetName val="IPSPT"/>
      <sheetName val="IPCT"/>
      <sheetName val="ACTIVOS"/>
      <sheetName val="VNR"/>
      <sheetName val="ADMT%-OMT%"/>
      <sheetName val="RRT"/>
      <sheetName val="CND"/>
      <sheetName val="Hidromet.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14">
          <cell r="D14">
            <v>7.85E-2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221"/>
  <sheetViews>
    <sheetView topLeftCell="A31" zoomScale="70" zoomScaleNormal="70" workbookViewId="0">
      <selection activeCell="F68" sqref="F68"/>
    </sheetView>
  </sheetViews>
  <sheetFormatPr baseColWidth="10" defaultColWidth="11.7109375" defaultRowHeight="15" customHeight="1" x14ac:dyDescent="0.25"/>
  <cols>
    <col min="1" max="1" width="30" style="38" bestFit="1" customWidth="1"/>
    <col min="2" max="2" width="12.28515625" style="38" bestFit="1" customWidth="1"/>
    <col min="3" max="7" width="11.7109375" style="38"/>
    <col min="8" max="8" width="11" style="38" bestFit="1" customWidth="1"/>
    <col min="9" max="9" width="13.85546875" style="38" customWidth="1"/>
    <col min="10" max="15" width="11.7109375" style="38"/>
    <col min="16" max="16" width="11.7109375" style="38" customWidth="1"/>
    <col min="17" max="18" width="11.7109375" style="38"/>
    <col min="19" max="19" width="11.28515625" style="38" customWidth="1"/>
    <col min="20" max="20" width="11.7109375" style="38"/>
    <col min="21" max="21" width="17.85546875" style="38" customWidth="1"/>
    <col min="22" max="22" width="8.140625" style="38" customWidth="1"/>
    <col min="23" max="33" width="11.7109375" style="38"/>
    <col min="34" max="34" width="11.7109375" style="38" customWidth="1"/>
    <col min="35" max="256" width="11.7109375" style="38"/>
    <col min="257" max="257" width="30" style="38" bestFit="1" customWidth="1"/>
    <col min="258" max="258" width="12.28515625" style="38" bestFit="1" customWidth="1"/>
    <col min="259" max="263" width="11.7109375" style="38"/>
    <col min="264" max="264" width="11" style="38" bestFit="1" customWidth="1"/>
    <col min="265" max="265" width="13.85546875" style="38" customWidth="1"/>
    <col min="266" max="274" width="11.7109375" style="38"/>
    <col min="275" max="275" width="11.28515625" style="38" customWidth="1"/>
    <col min="276" max="276" width="11.7109375" style="38"/>
    <col min="277" max="277" width="17.85546875" style="38" customWidth="1"/>
    <col min="278" max="278" width="8.140625" style="38" customWidth="1"/>
    <col min="279" max="512" width="11.7109375" style="38"/>
    <col min="513" max="513" width="30" style="38" bestFit="1" customWidth="1"/>
    <col min="514" max="514" width="12.28515625" style="38" bestFit="1" customWidth="1"/>
    <col min="515" max="519" width="11.7109375" style="38"/>
    <col min="520" max="520" width="11" style="38" bestFit="1" customWidth="1"/>
    <col min="521" max="521" width="13.85546875" style="38" customWidth="1"/>
    <col min="522" max="530" width="11.7109375" style="38"/>
    <col min="531" max="531" width="11.28515625" style="38" customWidth="1"/>
    <col min="532" max="532" width="11.7109375" style="38"/>
    <col min="533" max="533" width="17.85546875" style="38" customWidth="1"/>
    <col min="534" max="534" width="8.140625" style="38" customWidth="1"/>
    <col min="535" max="768" width="11.7109375" style="38"/>
    <col min="769" max="769" width="30" style="38" bestFit="1" customWidth="1"/>
    <col min="770" max="770" width="12.28515625" style="38" bestFit="1" customWidth="1"/>
    <col min="771" max="775" width="11.7109375" style="38"/>
    <col min="776" max="776" width="11" style="38" bestFit="1" customWidth="1"/>
    <col min="777" max="777" width="13.85546875" style="38" customWidth="1"/>
    <col min="778" max="786" width="11.7109375" style="38"/>
    <col min="787" max="787" width="11.28515625" style="38" customWidth="1"/>
    <col min="788" max="788" width="11.7109375" style="38"/>
    <col min="789" max="789" width="17.85546875" style="38" customWidth="1"/>
    <col min="790" max="790" width="8.140625" style="38" customWidth="1"/>
    <col min="791" max="1024" width="11.7109375" style="38"/>
    <col min="1025" max="1025" width="30" style="38" bestFit="1" customWidth="1"/>
    <col min="1026" max="1026" width="12.28515625" style="38" bestFit="1" customWidth="1"/>
    <col min="1027" max="1031" width="11.7109375" style="38"/>
    <col min="1032" max="1032" width="11" style="38" bestFit="1" customWidth="1"/>
    <col min="1033" max="1033" width="13.85546875" style="38" customWidth="1"/>
    <col min="1034" max="1042" width="11.7109375" style="38"/>
    <col min="1043" max="1043" width="11.28515625" style="38" customWidth="1"/>
    <col min="1044" max="1044" width="11.7109375" style="38"/>
    <col min="1045" max="1045" width="17.85546875" style="38" customWidth="1"/>
    <col min="1046" max="1046" width="8.140625" style="38" customWidth="1"/>
    <col min="1047" max="1280" width="11.7109375" style="38"/>
    <col min="1281" max="1281" width="30" style="38" bestFit="1" customWidth="1"/>
    <col min="1282" max="1282" width="12.28515625" style="38" bestFit="1" customWidth="1"/>
    <col min="1283" max="1287" width="11.7109375" style="38"/>
    <col min="1288" max="1288" width="11" style="38" bestFit="1" customWidth="1"/>
    <col min="1289" max="1289" width="13.85546875" style="38" customWidth="1"/>
    <col min="1290" max="1298" width="11.7109375" style="38"/>
    <col min="1299" max="1299" width="11.28515625" style="38" customWidth="1"/>
    <col min="1300" max="1300" width="11.7109375" style="38"/>
    <col min="1301" max="1301" width="17.85546875" style="38" customWidth="1"/>
    <col min="1302" max="1302" width="8.140625" style="38" customWidth="1"/>
    <col min="1303" max="1536" width="11.7109375" style="38"/>
    <col min="1537" max="1537" width="30" style="38" bestFit="1" customWidth="1"/>
    <col min="1538" max="1538" width="12.28515625" style="38" bestFit="1" customWidth="1"/>
    <col min="1539" max="1543" width="11.7109375" style="38"/>
    <col min="1544" max="1544" width="11" style="38" bestFit="1" customWidth="1"/>
    <col min="1545" max="1545" width="13.85546875" style="38" customWidth="1"/>
    <col min="1546" max="1554" width="11.7109375" style="38"/>
    <col min="1555" max="1555" width="11.28515625" style="38" customWidth="1"/>
    <col min="1556" max="1556" width="11.7109375" style="38"/>
    <col min="1557" max="1557" width="17.85546875" style="38" customWidth="1"/>
    <col min="1558" max="1558" width="8.140625" style="38" customWidth="1"/>
    <col min="1559" max="1792" width="11.7109375" style="38"/>
    <col min="1793" max="1793" width="30" style="38" bestFit="1" customWidth="1"/>
    <col min="1794" max="1794" width="12.28515625" style="38" bestFit="1" customWidth="1"/>
    <col min="1795" max="1799" width="11.7109375" style="38"/>
    <col min="1800" max="1800" width="11" style="38" bestFit="1" customWidth="1"/>
    <col min="1801" max="1801" width="13.85546875" style="38" customWidth="1"/>
    <col min="1802" max="1810" width="11.7109375" style="38"/>
    <col min="1811" max="1811" width="11.28515625" style="38" customWidth="1"/>
    <col min="1812" max="1812" width="11.7109375" style="38"/>
    <col min="1813" max="1813" width="17.85546875" style="38" customWidth="1"/>
    <col min="1814" max="1814" width="8.140625" style="38" customWidth="1"/>
    <col min="1815" max="2048" width="11.7109375" style="38"/>
    <col min="2049" max="2049" width="30" style="38" bestFit="1" customWidth="1"/>
    <col min="2050" max="2050" width="12.28515625" style="38" bestFit="1" customWidth="1"/>
    <col min="2051" max="2055" width="11.7109375" style="38"/>
    <col min="2056" max="2056" width="11" style="38" bestFit="1" customWidth="1"/>
    <col min="2057" max="2057" width="13.85546875" style="38" customWidth="1"/>
    <col min="2058" max="2066" width="11.7109375" style="38"/>
    <col min="2067" max="2067" width="11.28515625" style="38" customWidth="1"/>
    <col min="2068" max="2068" width="11.7109375" style="38"/>
    <col min="2069" max="2069" width="17.85546875" style="38" customWidth="1"/>
    <col min="2070" max="2070" width="8.140625" style="38" customWidth="1"/>
    <col min="2071" max="2304" width="11.7109375" style="38"/>
    <col min="2305" max="2305" width="30" style="38" bestFit="1" customWidth="1"/>
    <col min="2306" max="2306" width="12.28515625" style="38" bestFit="1" customWidth="1"/>
    <col min="2307" max="2311" width="11.7109375" style="38"/>
    <col min="2312" max="2312" width="11" style="38" bestFit="1" customWidth="1"/>
    <col min="2313" max="2313" width="13.85546875" style="38" customWidth="1"/>
    <col min="2314" max="2322" width="11.7109375" style="38"/>
    <col min="2323" max="2323" width="11.28515625" style="38" customWidth="1"/>
    <col min="2324" max="2324" width="11.7109375" style="38"/>
    <col min="2325" max="2325" width="17.85546875" style="38" customWidth="1"/>
    <col min="2326" max="2326" width="8.140625" style="38" customWidth="1"/>
    <col min="2327" max="2560" width="11.7109375" style="38"/>
    <col min="2561" max="2561" width="30" style="38" bestFit="1" customWidth="1"/>
    <col min="2562" max="2562" width="12.28515625" style="38" bestFit="1" customWidth="1"/>
    <col min="2563" max="2567" width="11.7109375" style="38"/>
    <col min="2568" max="2568" width="11" style="38" bestFit="1" customWidth="1"/>
    <col min="2569" max="2569" width="13.85546875" style="38" customWidth="1"/>
    <col min="2570" max="2578" width="11.7109375" style="38"/>
    <col min="2579" max="2579" width="11.28515625" style="38" customWidth="1"/>
    <col min="2580" max="2580" width="11.7109375" style="38"/>
    <col min="2581" max="2581" width="17.85546875" style="38" customWidth="1"/>
    <col min="2582" max="2582" width="8.140625" style="38" customWidth="1"/>
    <col min="2583" max="2816" width="11.7109375" style="38"/>
    <col min="2817" max="2817" width="30" style="38" bestFit="1" customWidth="1"/>
    <col min="2818" max="2818" width="12.28515625" style="38" bestFit="1" customWidth="1"/>
    <col min="2819" max="2823" width="11.7109375" style="38"/>
    <col min="2824" max="2824" width="11" style="38" bestFit="1" customWidth="1"/>
    <col min="2825" max="2825" width="13.85546875" style="38" customWidth="1"/>
    <col min="2826" max="2834" width="11.7109375" style="38"/>
    <col min="2835" max="2835" width="11.28515625" style="38" customWidth="1"/>
    <col min="2836" max="2836" width="11.7109375" style="38"/>
    <col min="2837" max="2837" width="17.85546875" style="38" customWidth="1"/>
    <col min="2838" max="2838" width="8.140625" style="38" customWidth="1"/>
    <col min="2839" max="3072" width="11.7109375" style="38"/>
    <col min="3073" max="3073" width="30" style="38" bestFit="1" customWidth="1"/>
    <col min="3074" max="3074" width="12.28515625" style="38" bestFit="1" customWidth="1"/>
    <col min="3075" max="3079" width="11.7109375" style="38"/>
    <col min="3080" max="3080" width="11" style="38" bestFit="1" customWidth="1"/>
    <col min="3081" max="3081" width="13.85546875" style="38" customWidth="1"/>
    <col min="3082" max="3090" width="11.7109375" style="38"/>
    <col min="3091" max="3091" width="11.28515625" style="38" customWidth="1"/>
    <col min="3092" max="3092" width="11.7109375" style="38"/>
    <col min="3093" max="3093" width="17.85546875" style="38" customWidth="1"/>
    <col min="3094" max="3094" width="8.140625" style="38" customWidth="1"/>
    <col min="3095" max="3328" width="11.7109375" style="38"/>
    <col min="3329" max="3329" width="30" style="38" bestFit="1" customWidth="1"/>
    <col min="3330" max="3330" width="12.28515625" style="38" bestFit="1" customWidth="1"/>
    <col min="3331" max="3335" width="11.7109375" style="38"/>
    <col min="3336" max="3336" width="11" style="38" bestFit="1" customWidth="1"/>
    <col min="3337" max="3337" width="13.85546875" style="38" customWidth="1"/>
    <col min="3338" max="3346" width="11.7109375" style="38"/>
    <col min="3347" max="3347" width="11.28515625" style="38" customWidth="1"/>
    <col min="3348" max="3348" width="11.7109375" style="38"/>
    <col min="3349" max="3349" width="17.85546875" style="38" customWidth="1"/>
    <col min="3350" max="3350" width="8.140625" style="38" customWidth="1"/>
    <col min="3351" max="3584" width="11.7109375" style="38"/>
    <col min="3585" max="3585" width="30" style="38" bestFit="1" customWidth="1"/>
    <col min="3586" max="3586" width="12.28515625" style="38" bestFit="1" customWidth="1"/>
    <col min="3587" max="3591" width="11.7109375" style="38"/>
    <col min="3592" max="3592" width="11" style="38" bestFit="1" customWidth="1"/>
    <col min="3593" max="3593" width="13.85546875" style="38" customWidth="1"/>
    <col min="3594" max="3602" width="11.7109375" style="38"/>
    <col min="3603" max="3603" width="11.28515625" style="38" customWidth="1"/>
    <col min="3604" max="3604" width="11.7109375" style="38"/>
    <col min="3605" max="3605" width="17.85546875" style="38" customWidth="1"/>
    <col min="3606" max="3606" width="8.140625" style="38" customWidth="1"/>
    <col min="3607" max="3840" width="11.7109375" style="38"/>
    <col min="3841" max="3841" width="30" style="38" bestFit="1" customWidth="1"/>
    <col min="3842" max="3842" width="12.28515625" style="38" bestFit="1" customWidth="1"/>
    <col min="3843" max="3847" width="11.7109375" style="38"/>
    <col min="3848" max="3848" width="11" style="38" bestFit="1" customWidth="1"/>
    <col min="3849" max="3849" width="13.85546875" style="38" customWidth="1"/>
    <col min="3850" max="3858" width="11.7109375" style="38"/>
    <col min="3859" max="3859" width="11.28515625" style="38" customWidth="1"/>
    <col min="3860" max="3860" width="11.7109375" style="38"/>
    <col min="3861" max="3861" width="17.85546875" style="38" customWidth="1"/>
    <col min="3862" max="3862" width="8.140625" style="38" customWidth="1"/>
    <col min="3863" max="4096" width="11.7109375" style="38"/>
    <col min="4097" max="4097" width="30" style="38" bestFit="1" customWidth="1"/>
    <col min="4098" max="4098" width="12.28515625" style="38" bestFit="1" customWidth="1"/>
    <col min="4099" max="4103" width="11.7109375" style="38"/>
    <col min="4104" max="4104" width="11" style="38" bestFit="1" customWidth="1"/>
    <col min="4105" max="4105" width="13.85546875" style="38" customWidth="1"/>
    <col min="4106" max="4114" width="11.7109375" style="38"/>
    <col min="4115" max="4115" width="11.28515625" style="38" customWidth="1"/>
    <col min="4116" max="4116" width="11.7109375" style="38"/>
    <col min="4117" max="4117" width="17.85546875" style="38" customWidth="1"/>
    <col min="4118" max="4118" width="8.140625" style="38" customWidth="1"/>
    <col min="4119" max="4352" width="11.7109375" style="38"/>
    <col min="4353" max="4353" width="30" style="38" bestFit="1" customWidth="1"/>
    <col min="4354" max="4354" width="12.28515625" style="38" bestFit="1" customWidth="1"/>
    <col min="4355" max="4359" width="11.7109375" style="38"/>
    <col min="4360" max="4360" width="11" style="38" bestFit="1" customWidth="1"/>
    <col min="4361" max="4361" width="13.85546875" style="38" customWidth="1"/>
    <col min="4362" max="4370" width="11.7109375" style="38"/>
    <col min="4371" max="4371" width="11.28515625" style="38" customWidth="1"/>
    <col min="4372" max="4372" width="11.7109375" style="38"/>
    <col min="4373" max="4373" width="17.85546875" style="38" customWidth="1"/>
    <col min="4374" max="4374" width="8.140625" style="38" customWidth="1"/>
    <col min="4375" max="4608" width="11.7109375" style="38"/>
    <col min="4609" max="4609" width="30" style="38" bestFit="1" customWidth="1"/>
    <col min="4610" max="4610" width="12.28515625" style="38" bestFit="1" customWidth="1"/>
    <col min="4611" max="4615" width="11.7109375" style="38"/>
    <col min="4616" max="4616" width="11" style="38" bestFit="1" customWidth="1"/>
    <col min="4617" max="4617" width="13.85546875" style="38" customWidth="1"/>
    <col min="4618" max="4626" width="11.7109375" style="38"/>
    <col min="4627" max="4627" width="11.28515625" style="38" customWidth="1"/>
    <col min="4628" max="4628" width="11.7109375" style="38"/>
    <col min="4629" max="4629" width="17.85546875" style="38" customWidth="1"/>
    <col min="4630" max="4630" width="8.140625" style="38" customWidth="1"/>
    <col min="4631" max="4864" width="11.7109375" style="38"/>
    <col min="4865" max="4865" width="30" style="38" bestFit="1" customWidth="1"/>
    <col min="4866" max="4866" width="12.28515625" style="38" bestFit="1" customWidth="1"/>
    <col min="4867" max="4871" width="11.7109375" style="38"/>
    <col min="4872" max="4872" width="11" style="38" bestFit="1" customWidth="1"/>
    <col min="4873" max="4873" width="13.85546875" style="38" customWidth="1"/>
    <col min="4874" max="4882" width="11.7109375" style="38"/>
    <col min="4883" max="4883" width="11.28515625" style="38" customWidth="1"/>
    <col min="4884" max="4884" width="11.7109375" style="38"/>
    <col min="4885" max="4885" width="17.85546875" style="38" customWidth="1"/>
    <col min="4886" max="4886" width="8.140625" style="38" customWidth="1"/>
    <col min="4887" max="5120" width="11.7109375" style="38"/>
    <col min="5121" max="5121" width="30" style="38" bestFit="1" customWidth="1"/>
    <col min="5122" max="5122" width="12.28515625" style="38" bestFit="1" customWidth="1"/>
    <col min="5123" max="5127" width="11.7109375" style="38"/>
    <col min="5128" max="5128" width="11" style="38" bestFit="1" customWidth="1"/>
    <col min="5129" max="5129" width="13.85546875" style="38" customWidth="1"/>
    <col min="5130" max="5138" width="11.7109375" style="38"/>
    <col min="5139" max="5139" width="11.28515625" style="38" customWidth="1"/>
    <col min="5140" max="5140" width="11.7109375" style="38"/>
    <col min="5141" max="5141" width="17.85546875" style="38" customWidth="1"/>
    <col min="5142" max="5142" width="8.140625" style="38" customWidth="1"/>
    <col min="5143" max="5376" width="11.7109375" style="38"/>
    <col min="5377" max="5377" width="30" style="38" bestFit="1" customWidth="1"/>
    <col min="5378" max="5378" width="12.28515625" style="38" bestFit="1" customWidth="1"/>
    <col min="5379" max="5383" width="11.7109375" style="38"/>
    <col min="5384" max="5384" width="11" style="38" bestFit="1" customWidth="1"/>
    <col min="5385" max="5385" width="13.85546875" style="38" customWidth="1"/>
    <col min="5386" max="5394" width="11.7109375" style="38"/>
    <col min="5395" max="5395" width="11.28515625" style="38" customWidth="1"/>
    <col min="5396" max="5396" width="11.7109375" style="38"/>
    <col min="5397" max="5397" width="17.85546875" style="38" customWidth="1"/>
    <col min="5398" max="5398" width="8.140625" style="38" customWidth="1"/>
    <col min="5399" max="5632" width="11.7109375" style="38"/>
    <col min="5633" max="5633" width="30" style="38" bestFit="1" customWidth="1"/>
    <col min="5634" max="5634" width="12.28515625" style="38" bestFit="1" customWidth="1"/>
    <col min="5635" max="5639" width="11.7109375" style="38"/>
    <col min="5640" max="5640" width="11" style="38" bestFit="1" customWidth="1"/>
    <col min="5641" max="5641" width="13.85546875" style="38" customWidth="1"/>
    <col min="5642" max="5650" width="11.7109375" style="38"/>
    <col min="5651" max="5651" width="11.28515625" style="38" customWidth="1"/>
    <col min="5652" max="5652" width="11.7109375" style="38"/>
    <col min="5653" max="5653" width="17.85546875" style="38" customWidth="1"/>
    <col min="5654" max="5654" width="8.140625" style="38" customWidth="1"/>
    <col min="5655" max="5888" width="11.7109375" style="38"/>
    <col min="5889" max="5889" width="30" style="38" bestFit="1" customWidth="1"/>
    <col min="5890" max="5890" width="12.28515625" style="38" bestFit="1" customWidth="1"/>
    <col min="5891" max="5895" width="11.7109375" style="38"/>
    <col min="5896" max="5896" width="11" style="38" bestFit="1" customWidth="1"/>
    <col min="5897" max="5897" width="13.85546875" style="38" customWidth="1"/>
    <col min="5898" max="5906" width="11.7109375" style="38"/>
    <col min="5907" max="5907" width="11.28515625" style="38" customWidth="1"/>
    <col min="5908" max="5908" width="11.7109375" style="38"/>
    <col min="5909" max="5909" width="17.85546875" style="38" customWidth="1"/>
    <col min="5910" max="5910" width="8.140625" style="38" customWidth="1"/>
    <col min="5911" max="6144" width="11.7109375" style="38"/>
    <col min="6145" max="6145" width="30" style="38" bestFit="1" customWidth="1"/>
    <col min="6146" max="6146" width="12.28515625" style="38" bestFit="1" customWidth="1"/>
    <col min="6147" max="6151" width="11.7109375" style="38"/>
    <col min="6152" max="6152" width="11" style="38" bestFit="1" customWidth="1"/>
    <col min="6153" max="6153" width="13.85546875" style="38" customWidth="1"/>
    <col min="6154" max="6162" width="11.7109375" style="38"/>
    <col min="6163" max="6163" width="11.28515625" style="38" customWidth="1"/>
    <col min="6164" max="6164" width="11.7109375" style="38"/>
    <col min="6165" max="6165" width="17.85546875" style="38" customWidth="1"/>
    <col min="6166" max="6166" width="8.140625" style="38" customWidth="1"/>
    <col min="6167" max="6400" width="11.7109375" style="38"/>
    <col min="6401" max="6401" width="30" style="38" bestFit="1" customWidth="1"/>
    <col min="6402" max="6402" width="12.28515625" style="38" bestFit="1" customWidth="1"/>
    <col min="6403" max="6407" width="11.7109375" style="38"/>
    <col min="6408" max="6408" width="11" style="38" bestFit="1" customWidth="1"/>
    <col min="6409" max="6409" width="13.85546875" style="38" customWidth="1"/>
    <col min="6410" max="6418" width="11.7109375" style="38"/>
    <col min="6419" max="6419" width="11.28515625" style="38" customWidth="1"/>
    <col min="6420" max="6420" width="11.7109375" style="38"/>
    <col min="6421" max="6421" width="17.85546875" style="38" customWidth="1"/>
    <col min="6422" max="6422" width="8.140625" style="38" customWidth="1"/>
    <col min="6423" max="6656" width="11.7109375" style="38"/>
    <col min="6657" max="6657" width="30" style="38" bestFit="1" customWidth="1"/>
    <col min="6658" max="6658" width="12.28515625" style="38" bestFit="1" customWidth="1"/>
    <col min="6659" max="6663" width="11.7109375" style="38"/>
    <col min="6664" max="6664" width="11" style="38" bestFit="1" customWidth="1"/>
    <col min="6665" max="6665" width="13.85546875" style="38" customWidth="1"/>
    <col min="6666" max="6674" width="11.7109375" style="38"/>
    <col min="6675" max="6675" width="11.28515625" style="38" customWidth="1"/>
    <col min="6676" max="6676" width="11.7109375" style="38"/>
    <col min="6677" max="6677" width="17.85546875" style="38" customWidth="1"/>
    <col min="6678" max="6678" width="8.140625" style="38" customWidth="1"/>
    <col min="6679" max="6912" width="11.7109375" style="38"/>
    <col min="6913" max="6913" width="30" style="38" bestFit="1" customWidth="1"/>
    <col min="6914" max="6914" width="12.28515625" style="38" bestFit="1" customWidth="1"/>
    <col min="6915" max="6919" width="11.7109375" style="38"/>
    <col min="6920" max="6920" width="11" style="38" bestFit="1" customWidth="1"/>
    <col min="6921" max="6921" width="13.85546875" style="38" customWidth="1"/>
    <col min="6922" max="6930" width="11.7109375" style="38"/>
    <col min="6931" max="6931" width="11.28515625" style="38" customWidth="1"/>
    <col min="6932" max="6932" width="11.7109375" style="38"/>
    <col min="6933" max="6933" width="17.85546875" style="38" customWidth="1"/>
    <col min="6934" max="6934" width="8.140625" style="38" customWidth="1"/>
    <col min="6935" max="7168" width="11.7109375" style="38"/>
    <col min="7169" max="7169" width="30" style="38" bestFit="1" customWidth="1"/>
    <col min="7170" max="7170" width="12.28515625" style="38" bestFit="1" customWidth="1"/>
    <col min="7171" max="7175" width="11.7109375" style="38"/>
    <col min="7176" max="7176" width="11" style="38" bestFit="1" customWidth="1"/>
    <col min="7177" max="7177" width="13.85546875" style="38" customWidth="1"/>
    <col min="7178" max="7186" width="11.7109375" style="38"/>
    <col min="7187" max="7187" width="11.28515625" style="38" customWidth="1"/>
    <col min="7188" max="7188" width="11.7109375" style="38"/>
    <col min="7189" max="7189" width="17.85546875" style="38" customWidth="1"/>
    <col min="7190" max="7190" width="8.140625" style="38" customWidth="1"/>
    <col min="7191" max="7424" width="11.7109375" style="38"/>
    <col min="7425" max="7425" width="30" style="38" bestFit="1" customWidth="1"/>
    <col min="7426" max="7426" width="12.28515625" style="38" bestFit="1" customWidth="1"/>
    <col min="7427" max="7431" width="11.7109375" style="38"/>
    <col min="7432" max="7432" width="11" style="38" bestFit="1" customWidth="1"/>
    <col min="7433" max="7433" width="13.85546875" style="38" customWidth="1"/>
    <col min="7434" max="7442" width="11.7109375" style="38"/>
    <col min="7443" max="7443" width="11.28515625" style="38" customWidth="1"/>
    <col min="7444" max="7444" width="11.7109375" style="38"/>
    <col min="7445" max="7445" width="17.85546875" style="38" customWidth="1"/>
    <col min="7446" max="7446" width="8.140625" style="38" customWidth="1"/>
    <col min="7447" max="7680" width="11.7109375" style="38"/>
    <col min="7681" max="7681" width="30" style="38" bestFit="1" customWidth="1"/>
    <col min="7682" max="7682" width="12.28515625" style="38" bestFit="1" customWidth="1"/>
    <col min="7683" max="7687" width="11.7109375" style="38"/>
    <col min="7688" max="7688" width="11" style="38" bestFit="1" customWidth="1"/>
    <col min="7689" max="7689" width="13.85546875" style="38" customWidth="1"/>
    <col min="7690" max="7698" width="11.7109375" style="38"/>
    <col min="7699" max="7699" width="11.28515625" style="38" customWidth="1"/>
    <col min="7700" max="7700" width="11.7109375" style="38"/>
    <col min="7701" max="7701" width="17.85546875" style="38" customWidth="1"/>
    <col min="7702" max="7702" width="8.140625" style="38" customWidth="1"/>
    <col min="7703" max="7936" width="11.7109375" style="38"/>
    <col min="7937" max="7937" width="30" style="38" bestFit="1" customWidth="1"/>
    <col min="7938" max="7938" width="12.28515625" style="38" bestFit="1" customWidth="1"/>
    <col min="7939" max="7943" width="11.7109375" style="38"/>
    <col min="7944" max="7944" width="11" style="38" bestFit="1" customWidth="1"/>
    <col min="7945" max="7945" width="13.85546875" style="38" customWidth="1"/>
    <col min="7946" max="7954" width="11.7109375" style="38"/>
    <col min="7955" max="7955" width="11.28515625" style="38" customWidth="1"/>
    <col min="7956" max="7956" width="11.7109375" style="38"/>
    <col min="7957" max="7957" width="17.85546875" style="38" customWidth="1"/>
    <col min="7958" max="7958" width="8.140625" style="38" customWidth="1"/>
    <col min="7959" max="8192" width="11.7109375" style="38"/>
    <col min="8193" max="8193" width="30" style="38" bestFit="1" customWidth="1"/>
    <col min="8194" max="8194" width="12.28515625" style="38" bestFit="1" customWidth="1"/>
    <col min="8195" max="8199" width="11.7109375" style="38"/>
    <col min="8200" max="8200" width="11" style="38" bestFit="1" customWidth="1"/>
    <col min="8201" max="8201" width="13.85546875" style="38" customWidth="1"/>
    <col min="8202" max="8210" width="11.7109375" style="38"/>
    <col min="8211" max="8211" width="11.28515625" style="38" customWidth="1"/>
    <col min="8212" max="8212" width="11.7109375" style="38"/>
    <col min="8213" max="8213" width="17.85546875" style="38" customWidth="1"/>
    <col min="8214" max="8214" width="8.140625" style="38" customWidth="1"/>
    <col min="8215" max="8448" width="11.7109375" style="38"/>
    <col min="8449" max="8449" width="30" style="38" bestFit="1" customWidth="1"/>
    <col min="8450" max="8450" width="12.28515625" style="38" bestFit="1" customWidth="1"/>
    <col min="8451" max="8455" width="11.7109375" style="38"/>
    <col min="8456" max="8456" width="11" style="38" bestFit="1" customWidth="1"/>
    <col min="8457" max="8457" width="13.85546875" style="38" customWidth="1"/>
    <col min="8458" max="8466" width="11.7109375" style="38"/>
    <col min="8467" max="8467" width="11.28515625" style="38" customWidth="1"/>
    <col min="8468" max="8468" width="11.7109375" style="38"/>
    <col min="8469" max="8469" width="17.85546875" style="38" customWidth="1"/>
    <col min="8470" max="8470" width="8.140625" style="38" customWidth="1"/>
    <col min="8471" max="8704" width="11.7109375" style="38"/>
    <col min="8705" max="8705" width="30" style="38" bestFit="1" customWidth="1"/>
    <col min="8706" max="8706" width="12.28515625" style="38" bestFit="1" customWidth="1"/>
    <col min="8707" max="8711" width="11.7109375" style="38"/>
    <col min="8712" max="8712" width="11" style="38" bestFit="1" customWidth="1"/>
    <col min="8713" max="8713" width="13.85546875" style="38" customWidth="1"/>
    <col min="8714" max="8722" width="11.7109375" style="38"/>
    <col min="8723" max="8723" width="11.28515625" style="38" customWidth="1"/>
    <col min="8724" max="8724" width="11.7109375" style="38"/>
    <col min="8725" max="8725" width="17.85546875" style="38" customWidth="1"/>
    <col min="8726" max="8726" width="8.140625" style="38" customWidth="1"/>
    <col min="8727" max="8960" width="11.7109375" style="38"/>
    <col min="8961" max="8961" width="30" style="38" bestFit="1" customWidth="1"/>
    <col min="8962" max="8962" width="12.28515625" style="38" bestFit="1" customWidth="1"/>
    <col min="8963" max="8967" width="11.7109375" style="38"/>
    <col min="8968" max="8968" width="11" style="38" bestFit="1" customWidth="1"/>
    <col min="8969" max="8969" width="13.85546875" style="38" customWidth="1"/>
    <col min="8970" max="8978" width="11.7109375" style="38"/>
    <col min="8979" max="8979" width="11.28515625" style="38" customWidth="1"/>
    <col min="8980" max="8980" width="11.7109375" style="38"/>
    <col min="8981" max="8981" width="17.85546875" style="38" customWidth="1"/>
    <col min="8982" max="8982" width="8.140625" style="38" customWidth="1"/>
    <col min="8983" max="9216" width="11.7109375" style="38"/>
    <col min="9217" max="9217" width="30" style="38" bestFit="1" customWidth="1"/>
    <col min="9218" max="9218" width="12.28515625" style="38" bestFit="1" customWidth="1"/>
    <col min="9219" max="9223" width="11.7109375" style="38"/>
    <col min="9224" max="9224" width="11" style="38" bestFit="1" customWidth="1"/>
    <col min="9225" max="9225" width="13.85546875" style="38" customWidth="1"/>
    <col min="9226" max="9234" width="11.7109375" style="38"/>
    <col min="9235" max="9235" width="11.28515625" style="38" customWidth="1"/>
    <col min="9236" max="9236" width="11.7109375" style="38"/>
    <col min="9237" max="9237" width="17.85546875" style="38" customWidth="1"/>
    <col min="9238" max="9238" width="8.140625" style="38" customWidth="1"/>
    <col min="9239" max="9472" width="11.7109375" style="38"/>
    <col min="9473" max="9473" width="30" style="38" bestFit="1" customWidth="1"/>
    <col min="9474" max="9474" width="12.28515625" style="38" bestFit="1" customWidth="1"/>
    <col min="9475" max="9479" width="11.7109375" style="38"/>
    <col min="9480" max="9480" width="11" style="38" bestFit="1" customWidth="1"/>
    <col min="9481" max="9481" width="13.85546875" style="38" customWidth="1"/>
    <col min="9482" max="9490" width="11.7109375" style="38"/>
    <col min="9491" max="9491" width="11.28515625" style="38" customWidth="1"/>
    <col min="9492" max="9492" width="11.7109375" style="38"/>
    <col min="9493" max="9493" width="17.85546875" style="38" customWidth="1"/>
    <col min="9494" max="9494" width="8.140625" style="38" customWidth="1"/>
    <col min="9495" max="9728" width="11.7109375" style="38"/>
    <col min="9729" max="9729" width="30" style="38" bestFit="1" customWidth="1"/>
    <col min="9730" max="9730" width="12.28515625" style="38" bestFit="1" customWidth="1"/>
    <col min="9731" max="9735" width="11.7109375" style="38"/>
    <col min="9736" max="9736" width="11" style="38" bestFit="1" customWidth="1"/>
    <col min="9737" max="9737" width="13.85546875" style="38" customWidth="1"/>
    <col min="9738" max="9746" width="11.7109375" style="38"/>
    <col min="9747" max="9747" width="11.28515625" style="38" customWidth="1"/>
    <col min="9748" max="9748" width="11.7109375" style="38"/>
    <col min="9749" max="9749" width="17.85546875" style="38" customWidth="1"/>
    <col min="9750" max="9750" width="8.140625" style="38" customWidth="1"/>
    <col min="9751" max="9984" width="11.7109375" style="38"/>
    <col min="9985" max="9985" width="30" style="38" bestFit="1" customWidth="1"/>
    <col min="9986" max="9986" width="12.28515625" style="38" bestFit="1" customWidth="1"/>
    <col min="9987" max="9991" width="11.7109375" style="38"/>
    <col min="9992" max="9992" width="11" style="38" bestFit="1" customWidth="1"/>
    <col min="9993" max="9993" width="13.85546875" style="38" customWidth="1"/>
    <col min="9994" max="10002" width="11.7109375" style="38"/>
    <col min="10003" max="10003" width="11.28515625" style="38" customWidth="1"/>
    <col min="10004" max="10004" width="11.7109375" style="38"/>
    <col min="10005" max="10005" width="17.85546875" style="38" customWidth="1"/>
    <col min="10006" max="10006" width="8.140625" style="38" customWidth="1"/>
    <col min="10007" max="10240" width="11.7109375" style="38"/>
    <col min="10241" max="10241" width="30" style="38" bestFit="1" customWidth="1"/>
    <col min="10242" max="10242" width="12.28515625" style="38" bestFit="1" customWidth="1"/>
    <col min="10243" max="10247" width="11.7109375" style="38"/>
    <col min="10248" max="10248" width="11" style="38" bestFit="1" customWidth="1"/>
    <col min="10249" max="10249" width="13.85546875" style="38" customWidth="1"/>
    <col min="10250" max="10258" width="11.7109375" style="38"/>
    <col min="10259" max="10259" width="11.28515625" style="38" customWidth="1"/>
    <col min="10260" max="10260" width="11.7109375" style="38"/>
    <col min="10261" max="10261" width="17.85546875" style="38" customWidth="1"/>
    <col min="10262" max="10262" width="8.140625" style="38" customWidth="1"/>
    <col min="10263" max="10496" width="11.7109375" style="38"/>
    <col min="10497" max="10497" width="30" style="38" bestFit="1" customWidth="1"/>
    <col min="10498" max="10498" width="12.28515625" style="38" bestFit="1" customWidth="1"/>
    <col min="10499" max="10503" width="11.7109375" style="38"/>
    <col min="10504" max="10504" width="11" style="38" bestFit="1" customWidth="1"/>
    <col min="10505" max="10505" width="13.85546875" style="38" customWidth="1"/>
    <col min="10506" max="10514" width="11.7109375" style="38"/>
    <col min="10515" max="10515" width="11.28515625" style="38" customWidth="1"/>
    <col min="10516" max="10516" width="11.7109375" style="38"/>
    <col min="10517" max="10517" width="17.85546875" style="38" customWidth="1"/>
    <col min="10518" max="10518" width="8.140625" style="38" customWidth="1"/>
    <col min="10519" max="10752" width="11.7109375" style="38"/>
    <col min="10753" max="10753" width="30" style="38" bestFit="1" customWidth="1"/>
    <col min="10754" max="10754" width="12.28515625" style="38" bestFit="1" customWidth="1"/>
    <col min="10755" max="10759" width="11.7109375" style="38"/>
    <col min="10760" max="10760" width="11" style="38" bestFit="1" customWidth="1"/>
    <col min="10761" max="10761" width="13.85546875" style="38" customWidth="1"/>
    <col min="10762" max="10770" width="11.7109375" style="38"/>
    <col min="10771" max="10771" width="11.28515625" style="38" customWidth="1"/>
    <col min="10772" max="10772" width="11.7109375" style="38"/>
    <col min="10773" max="10773" width="17.85546875" style="38" customWidth="1"/>
    <col min="10774" max="10774" width="8.140625" style="38" customWidth="1"/>
    <col min="10775" max="11008" width="11.7109375" style="38"/>
    <col min="11009" max="11009" width="30" style="38" bestFit="1" customWidth="1"/>
    <col min="11010" max="11010" width="12.28515625" style="38" bestFit="1" customWidth="1"/>
    <col min="11011" max="11015" width="11.7109375" style="38"/>
    <col min="11016" max="11016" width="11" style="38" bestFit="1" customWidth="1"/>
    <col min="11017" max="11017" width="13.85546875" style="38" customWidth="1"/>
    <col min="11018" max="11026" width="11.7109375" style="38"/>
    <col min="11027" max="11027" width="11.28515625" style="38" customWidth="1"/>
    <col min="11028" max="11028" width="11.7109375" style="38"/>
    <col min="11029" max="11029" width="17.85546875" style="38" customWidth="1"/>
    <col min="11030" max="11030" width="8.140625" style="38" customWidth="1"/>
    <col min="11031" max="11264" width="11.7109375" style="38"/>
    <col min="11265" max="11265" width="30" style="38" bestFit="1" customWidth="1"/>
    <col min="11266" max="11266" width="12.28515625" style="38" bestFit="1" customWidth="1"/>
    <col min="11267" max="11271" width="11.7109375" style="38"/>
    <col min="11272" max="11272" width="11" style="38" bestFit="1" customWidth="1"/>
    <col min="11273" max="11273" width="13.85546875" style="38" customWidth="1"/>
    <col min="11274" max="11282" width="11.7109375" style="38"/>
    <col min="11283" max="11283" width="11.28515625" style="38" customWidth="1"/>
    <col min="11284" max="11284" width="11.7109375" style="38"/>
    <col min="11285" max="11285" width="17.85546875" style="38" customWidth="1"/>
    <col min="11286" max="11286" width="8.140625" style="38" customWidth="1"/>
    <col min="11287" max="11520" width="11.7109375" style="38"/>
    <col min="11521" max="11521" width="30" style="38" bestFit="1" customWidth="1"/>
    <col min="11522" max="11522" width="12.28515625" style="38" bestFit="1" customWidth="1"/>
    <col min="11523" max="11527" width="11.7109375" style="38"/>
    <col min="11528" max="11528" width="11" style="38" bestFit="1" customWidth="1"/>
    <col min="11529" max="11529" width="13.85546875" style="38" customWidth="1"/>
    <col min="11530" max="11538" width="11.7109375" style="38"/>
    <col min="11539" max="11539" width="11.28515625" style="38" customWidth="1"/>
    <col min="11540" max="11540" width="11.7109375" style="38"/>
    <col min="11541" max="11541" width="17.85546875" style="38" customWidth="1"/>
    <col min="11542" max="11542" width="8.140625" style="38" customWidth="1"/>
    <col min="11543" max="11776" width="11.7109375" style="38"/>
    <col min="11777" max="11777" width="30" style="38" bestFit="1" customWidth="1"/>
    <col min="11778" max="11778" width="12.28515625" style="38" bestFit="1" customWidth="1"/>
    <col min="11779" max="11783" width="11.7109375" style="38"/>
    <col min="11784" max="11784" width="11" style="38" bestFit="1" customWidth="1"/>
    <col min="11785" max="11785" width="13.85546875" style="38" customWidth="1"/>
    <col min="11786" max="11794" width="11.7109375" style="38"/>
    <col min="11795" max="11795" width="11.28515625" style="38" customWidth="1"/>
    <col min="11796" max="11796" width="11.7109375" style="38"/>
    <col min="11797" max="11797" width="17.85546875" style="38" customWidth="1"/>
    <col min="11798" max="11798" width="8.140625" style="38" customWidth="1"/>
    <col min="11799" max="12032" width="11.7109375" style="38"/>
    <col min="12033" max="12033" width="30" style="38" bestFit="1" customWidth="1"/>
    <col min="12034" max="12034" width="12.28515625" style="38" bestFit="1" customWidth="1"/>
    <col min="12035" max="12039" width="11.7109375" style="38"/>
    <col min="12040" max="12040" width="11" style="38" bestFit="1" customWidth="1"/>
    <col min="12041" max="12041" width="13.85546875" style="38" customWidth="1"/>
    <col min="12042" max="12050" width="11.7109375" style="38"/>
    <col min="12051" max="12051" width="11.28515625" style="38" customWidth="1"/>
    <col min="12052" max="12052" width="11.7109375" style="38"/>
    <col min="12053" max="12053" width="17.85546875" style="38" customWidth="1"/>
    <col min="12054" max="12054" width="8.140625" style="38" customWidth="1"/>
    <col min="12055" max="12288" width="11.7109375" style="38"/>
    <col min="12289" max="12289" width="30" style="38" bestFit="1" customWidth="1"/>
    <col min="12290" max="12290" width="12.28515625" style="38" bestFit="1" customWidth="1"/>
    <col min="12291" max="12295" width="11.7109375" style="38"/>
    <col min="12296" max="12296" width="11" style="38" bestFit="1" customWidth="1"/>
    <col min="12297" max="12297" width="13.85546875" style="38" customWidth="1"/>
    <col min="12298" max="12306" width="11.7109375" style="38"/>
    <col min="12307" max="12307" width="11.28515625" style="38" customWidth="1"/>
    <col min="12308" max="12308" width="11.7109375" style="38"/>
    <col min="12309" max="12309" width="17.85546875" style="38" customWidth="1"/>
    <col min="12310" max="12310" width="8.140625" style="38" customWidth="1"/>
    <col min="12311" max="12544" width="11.7109375" style="38"/>
    <col min="12545" max="12545" width="30" style="38" bestFit="1" customWidth="1"/>
    <col min="12546" max="12546" width="12.28515625" style="38" bestFit="1" customWidth="1"/>
    <col min="12547" max="12551" width="11.7109375" style="38"/>
    <col min="12552" max="12552" width="11" style="38" bestFit="1" customWidth="1"/>
    <col min="12553" max="12553" width="13.85546875" style="38" customWidth="1"/>
    <col min="12554" max="12562" width="11.7109375" style="38"/>
    <col min="12563" max="12563" width="11.28515625" style="38" customWidth="1"/>
    <col min="12564" max="12564" width="11.7109375" style="38"/>
    <col min="12565" max="12565" width="17.85546875" style="38" customWidth="1"/>
    <col min="12566" max="12566" width="8.140625" style="38" customWidth="1"/>
    <col min="12567" max="12800" width="11.7109375" style="38"/>
    <col min="12801" max="12801" width="30" style="38" bestFit="1" customWidth="1"/>
    <col min="12802" max="12802" width="12.28515625" style="38" bestFit="1" customWidth="1"/>
    <col min="12803" max="12807" width="11.7109375" style="38"/>
    <col min="12808" max="12808" width="11" style="38" bestFit="1" customWidth="1"/>
    <col min="12809" max="12809" width="13.85546875" style="38" customWidth="1"/>
    <col min="12810" max="12818" width="11.7109375" style="38"/>
    <col min="12819" max="12819" width="11.28515625" style="38" customWidth="1"/>
    <col min="12820" max="12820" width="11.7109375" style="38"/>
    <col min="12821" max="12821" width="17.85546875" style="38" customWidth="1"/>
    <col min="12822" max="12822" width="8.140625" style="38" customWidth="1"/>
    <col min="12823" max="13056" width="11.7109375" style="38"/>
    <col min="13057" max="13057" width="30" style="38" bestFit="1" customWidth="1"/>
    <col min="13058" max="13058" width="12.28515625" style="38" bestFit="1" customWidth="1"/>
    <col min="13059" max="13063" width="11.7109375" style="38"/>
    <col min="13064" max="13064" width="11" style="38" bestFit="1" customWidth="1"/>
    <col min="13065" max="13065" width="13.85546875" style="38" customWidth="1"/>
    <col min="13066" max="13074" width="11.7109375" style="38"/>
    <col min="13075" max="13075" width="11.28515625" style="38" customWidth="1"/>
    <col min="13076" max="13076" width="11.7109375" style="38"/>
    <col min="13077" max="13077" width="17.85546875" style="38" customWidth="1"/>
    <col min="13078" max="13078" width="8.140625" style="38" customWidth="1"/>
    <col min="13079" max="13312" width="11.7109375" style="38"/>
    <col min="13313" max="13313" width="30" style="38" bestFit="1" customWidth="1"/>
    <col min="13314" max="13314" width="12.28515625" style="38" bestFit="1" customWidth="1"/>
    <col min="13315" max="13319" width="11.7109375" style="38"/>
    <col min="13320" max="13320" width="11" style="38" bestFit="1" customWidth="1"/>
    <col min="13321" max="13321" width="13.85546875" style="38" customWidth="1"/>
    <col min="13322" max="13330" width="11.7109375" style="38"/>
    <col min="13331" max="13331" width="11.28515625" style="38" customWidth="1"/>
    <col min="13332" max="13332" width="11.7109375" style="38"/>
    <col min="13333" max="13333" width="17.85546875" style="38" customWidth="1"/>
    <col min="13334" max="13334" width="8.140625" style="38" customWidth="1"/>
    <col min="13335" max="13568" width="11.7109375" style="38"/>
    <col min="13569" max="13569" width="30" style="38" bestFit="1" customWidth="1"/>
    <col min="13570" max="13570" width="12.28515625" style="38" bestFit="1" customWidth="1"/>
    <col min="13571" max="13575" width="11.7109375" style="38"/>
    <col min="13576" max="13576" width="11" style="38" bestFit="1" customWidth="1"/>
    <col min="13577" max="13577" width="13.85546875" style="38" customWidth="1"/>
    <col min="13578" max="13586" width="11.7109375" style="38"/>
    <col min="13587" max="13587" width="11.28515625" style="38" customWidth="1"/>
    <col min="13588" max="13588" width="11.7109375" style="38"/>
    <col min="13589" max="13589" width="17.85546875" style="38" customWidth="1"/>
    <col min="13590" max="13590" width="8.140625" style="38" customWidth="1"/>
    <col min="13591" max="13824" width="11.7109375" style="38"/>
    <col min="13825" max="13825" width="30" style="38" bestFit="1" customWidth="1"/>
    <col min="13826" max="13826" width="12.28515625" style="38" bestFit="1" customWidth="1"/>
    <col min="13827" max="13831" width="11.7109375" style="38"/>
    <col min="13832" max="13832" width="11" style="38" bestFit="1" customWidth="1"/>
    <col min="13833" max="13833" width="13.85546875" style="38" customWidth="1"/>
    <col min="13834" max="13842" width="11.7109375" style="38"/>
    <col min="13843" max="13843" width="11.28515625" style="38" customWidth="1"/>
    <col min="13844" max="13844" width="11.7109375" style="38"/>
    <col min="13845" max="13845" width="17.85546875" style="38" customWidth="1"/>
    <col min="13846" max="13846" width="8.140625" style="38" customWidth="1"/>
    <col min="13847" max="14080" width="11.7109375" style="38"/>
    <col min="14081" max="14081" width="30" style="38" bestFit="1" customWidth="1"/>
    <col min="14082" max="14082" width="12.28515625" style="38" bestFit="1" customWidth="1"/>
    <col min="14083" max="14087" width="11.7109375" style="38"/>
    <col min="14088" max="14088" width="11" style="38" bestFit="1" customWidth="1"/>
    <col min="14089" max="14089" width="13.85546875" style="38" customWidth="1"/>
    <col min="14090" max="14098" width="11.7109375" style="38"/>
    <col min="14099" max="14099" width="11.28515625" style="38" customWidth="1"/>
    <col min="14100" max="14100" width="11.7109375" style="38"/>
    <col min="14101" max="14101" width="17.85546875" style="38" customWidth="1"/>
    <col min="14102" max="14102" width="8.140625" style="38" customWidth="1"/>
    <col min="14103" max="14336" width="11.7109375" style="38"/>
    <col min="14337" max="14337" width="30" style="38" bestFit="1" customWidth="1"/>
    <col min="14338" max="14338" width="12.28515625" style="38" bestFit="1" customWidth="1"/>
    <col min="14339" max="14343" width="11.7109375" style="38"/>
    <col min="14344" max="14344" width="11" style="38" bestFit="1" customWidth="1"/>
    <col min="14345" max="14345" width="13.85546875" style="38" customWidth="1"/>
    <col min="14346" max="14354" width="11.7109375" style="38"/>
    <col min="14355" max="14355" width="11.28515625" style="38" customWidth="1"/>
    <col min="14356" max="14356" width="11.7109375" style="38"/>
    <col min="14357" max="14357" width="17.85546875" style="38" customWidth="1"/>
    <col min="14358" max="14358" width="8.140625" style="38" customWidth="1"/>
    <col min="14359" max="14592" width="11.7109375" style="38"/>
    <col min="14593" max="14593" width="30" style="38" bestFit="1" customWidth="1"/>
    <col min="14594" max="14594" width="12.28515625" style="38" bestFit="1" customWidth="1"/>
    <col min="14595" max="14599" width="11.7109375" style="38"/>
    <col min="14600" max="14600" width="11" style="38" bestFit="1" customWidth="1"/>
    <col min="14601" max="14601" width="13.85546875" style="38" customWidth="1"/>
    <col min="14602" max="14610" width="11.7109375" style="38"/>
    <col min="14611" max="14611" width="11.28515625" style="38" customWidth="1"/>
    <col min="14612" max="14612" width="11.7109375" style="38"/>
    <col min="14613" max="14613" width="17.85546875" style="38" customWidth="1"/>
    <col min="14614" max="14614" width="8.140625" style="38" customWidth="1"/>
    <col min="14615" max="14848" width="11.7109375" style="38"/>
    <col min="14849" max="14849" width="30" style="38" bestFit="1" customWidth="1"/>
    <col min="14850" max="14850" width="12.28515625" style="38" bestFit="1" customWidth="1"/>
    <col min="14851" max="14855" width="11.7109375" style="38"/>
    <col min="14856" max="14856" width="11" style="38" bestFit="1" customWidth="1"/>
    <col min="14857" max="14857" width="13.85546875" style="38" customWidth="1"/>
    <col min="14858" max="14866" width="11.7109375" style="38"/>
    <col min="14867" max="14867" width="11.28515625" style="38" customWidth="1"/>
    <col min="14868" max="14868" width="11.7109375" style="38"/>
    <col min="14869" max="14869" width="17.85546875" style="38" customWidth="1"/>
    <col min="14870" max="14870" width="8.140625" style="38" customWidth="1"/>
    <col min="14871" max="15104" width="11.7109375" style="38"/>
    <col min="15105" max="15105" width="30" style="38" bestFit="1" customWidth="1"/>
    <col min="15106" max="15106" width="12.28515625" style="38" bestFit="1" customWidth="1"/>
    <col min="15107" max="15111" width="11.7109375" style="38"/>
    <col min="15112" max="15112" width="11" style="38" bestFit="1" customWidth="1"/>
    <col min="15113" max="15113" width="13.85546875" style="38" customWidth="1"/>
    <col min="15114" max="15122" width="11.7109375" style="38"/>
    <col min="15123" max="15123" width="11.28515625" style="38" customWidth="1"/>
    <col min="15124" max="15124" width="11.7109375" style="38"/>
    <col min="15125" max="15125" width="17.85546875" style="38" customWidth="1"/>
    <col min="15126" max="15126" width="8.140625" style="38" customWidth="1"/>
    <col min="15127" max="15360" width="11.7109375" style="38"/>
    <col min="15361" max="15361" width="30" style="38" bestFit="1" customWidth="1"/>
    <col min="15362" max="15362" width="12.28515625" style="38" bestFit="1" customWidth="1"/>
    <col min="15363" max="15367" width="11.7109375" style="38"/>
    <col min="15368" max="15368" width="11" style="38" bestFit="1" customWidth="1"/>
    <col min="15369" max="15369" width="13.85546875" style="38" customWidth="1"/>
    <col min="15370" max="15378" width="11.7109375" style="38"/>
    <col min="15379" max="15379" width="11.28515625" style="38" customWidth="1"/>
    <col min="15380" max="15380" width="11.7109375" style="38"/>
    <col min="15381" max="15381" width="17.85546875" style="38" customWidth="1"/>
    <col min="15382" max="15382" width="8.140625" style="38" customWidth="1"/>
    <col min="15383" max="15616" width="11.7109375" style="38"/>
    <col min="15617" max="15617" width="30" style="38" bestFit="1" customWidth="1"/>
    <col min="15618" max="15618" width="12.28515625" style="38" bestFit="1" customWidth="1"/>
    <col min="15619" max="15623" width="11.7109375" style="38"/>
    <col min="15624" max="15624" width="11" style="38" bestFit="1" customWidth="1"/>
    <col min="15625" max="15625" width="13.85546875" style="38" customWidth="1"/>
    <col min="15626" max="15634" width="11.7109375" style="38"/>
    <col min="15635" max="15635" width="11.28515625" style="38" customWidth="1"/>
    <col min="15636" max="15636" width="11.7109375" style="38"/>
    <col min="15637" max="15637" width="17.85546875" style="38" customWidth="1"/>
    <col min="15638" max="15638" width="8.140625" style="38" customWidth="1"/>
    <col min="15639" max="15872" width="11.7109375" style="38"/>
    <col min="15873" max="15873" width="30" style="38" bestFit="1" customWidth="1"/>
    <col min="15874" max="15874" width="12.28515625" style="38" bestFit="1" customWidth="1"/>
    <col min="15875" max="15879" width="11.7109375" style="38"/>
    <col min="15880" max="15880" width="11" style="38" bestFit="1" customWidth="1"/>
    <col min="15881" max="15881" width="13.85546875" style="38" customWidth="1"/>
    <col min="15882" max="15890" width="11.7109375" style="38"/>
    <col min="15891" max="15891" width="11.28515625" style="38" customWidth="1"/>
    <col min="15892" max="15892" width="11.7109375" style="38"/>
    <col min="15893" max="15893" width="17.85546875" style="38" customWidth="1"/>
    <col min="15894" max="15894" width="8.140625" style="38" customWidth="1"/>
    <col min="15895" max="16128" width="11.7109375" style="38"/>
    <col min="16129" max="16129" width="30" style="38" bestFit="1" customWidth="1"/>
    <col min="16130" max="16130" width="12.28515625" style="38" bestFit="1" customWidth="1"/>
    <col min="16131" max="16135" width="11.7109375" style="38"/>
    <col min="16136" max="16136" width="11" style="38" bestFit="1" customWidth="1"/>
    <col min="16137" max="16137" width="13.85546875" style="38" customWidth="1"/>
    <col min="16138" max="16146" width="11.7109375" style="38"/>
    <col min="16147" max="16147" width="11.28515625" style="38" customWidth="1"/>
    <col min="16148" max="16148" width="11.7109375" style="38"/>
    <col min="16149" max="16149" width="17.85546875" style="38" customWidth="1"/>
    <col min="16150" max="16150" width="8.140625" style="38" customWidth="1"/>
    <col min="16151" max="16384" width="11.7109375" style="38"/>
  </cols>
  <sheetData>
    <row r="1" spans="1:37" ht="27" customHeight="1" x14ac:dyDescent="0.25">
      <c r="A1" s="286" t="s">
        <v>0</v>
      </c>
      <c r="B1" s="286">
        <v>1</v>
      </c>
      <c r="C1" s="128" t="s">
        <v>1</v>
      </c>
      <c r="H1" s="287" t="s">
        <v>2</v>
      </c>
      <c r="I1" s="288"/>
    </row>
    <row r="2" spans="1:37" ht="15" customHeight="1" x14ac:dyDescent="0.25">
      <c r="A2" s="289"/>
      <c r="B2" s="290" t="s">
        <v>3</v>
      </c>
      <c r="C2" s="291"/>
      <c r="D2" s="292" t="s">
        <v>4</v>
      </c>
      <c r="E2" s="293"/>
      <c r="F2" s="294" t="s">
        <v>5</v>
      </c>
    </row>
    <row r="3" spans="1:37" ht="15" customHeight="1" x14ac:dyDescent="0.25">
      <c r="A3" s="295" t="s">
        <v>6</v>
      </c>
      <c r="B3" s="285">
        <f>+'CUSPT AÑO 1 '!B3</f>
        <v>59710.152840950002</v>
      </c>
      <c r="C3" s="296">
        <f>SUM(C4:C5)</f>
        <v>1</v>
      </c>
      <c r="D3" s="297" t="e">
        <f>SUM(D4:D5)</f>
        <v>#VALUE!</v>
      </c>
      <c r="E3" s="296" t="e">
        <f>D3/$D$3</f>
        <v>#VALUE!</v>
      </c>
      <c r="F3" s="298" t="s">
        <v>7</v>
      </c>
      <c r="H3" s="295" t="s">
        <v>8</v>
      </c>
      <c r="I3" s="299">
        <v>0</v>
      </c>
      <c r="J3" s="300" t="s">
        <v>9</v>
      </c>
      <c r="L3" s="301" t="s">
        <v>10</v>
      </c>
      <c r="M3" s="302">
        <v>0.7</v>
      </c>
      <c r="N3" s="303">
        <f>M3*B3</f>
        <v>41797.106988665</v>
      </c>
    </row>
    <row r="4" spans="1:37" ht="15" customHeight="1" x14ac:dyDescent="0.25">
      <c r="A4" s="304" t="s">
        <v>11</v>
      </c>
      <c r="B4" s="305">
        <f>C4*B3</f>
        <v>51067.107839187855</v>
      </c>
      <c r="C4" s="306">
        <v>0.85524999366883825</v>
      </c>
      <c r="D4" s="307" t="e">
        <f>SUMIFS([13]M01!G2:G989,[13]M01!C2:C989,230,[13]M01!F2:F989,"S")</f>
        <v>#VALUE!</v>
      </c>
      <c r="E4" s="308" t="e">
        <f>D4/$D$3</f>
        <v>#VALUE!</v>
      </c>
      <c r="F4" s="309" t="e">
        <f>B4/D4</f>
        <v>#VALUE!</v>
      </c>
      <c r="L4" s="301" t="s">
        <v>12</v>
      </c>
      <c r="M4" s="302">
        <v>0.3</v>
      </c>
      <c r="N4" s="303">
        <f>M4*B3</f>
        <v>17913.045852284999</v>
      </c>
    </row>
    <row r="5" spans="1:37" ht="15" customHeight="1" x14ac:dyDescent="0.25">
      <c r="A5" s="310" t="s">
        <v>13</v>
      </c>
      <c r="B5" s="311">
        <f>C5*B3</f>
        <v>8643.0450017621479</v>
      </c>
      <c r="C5" s="312">
        <f>1-C4</f>
        <v>0.14475000633116175</v>
      </c>
      <c r="D5" s="313" t="e">
        <f>SUMIFS([14]Ram!G2:G989,[14]Ram!C2:C989,115,[14]Ram!F2:F989,"S")</f>
        <v>#VALUE!</v>
      </c>
      <c r="E5" s="314" t="e">
        <f>D5/$D$3</f>
        <v>#VALUE!</v>
      </c>
      <c r="F5" s="315" t="e">
        <f>B5/D5</f>
        <v>#VALUE!</v>
      </c>
    </row>
    <row r="6" spans="1:37" ht="15" customHeight="1" x14ac:dyDescent="0.25">
      <c r="A6" s="129"/>
      <c r="B6" s="129"/>
      <c r="C6" s="316"/>
      <c r="E6" s="316"/>
      <c r="L6" s="317" t="s">
        <v>14</v>
      </c>
      <c r="M6" s="318">
        <f>[13]M02!L17</f>
        <v>0</v>
      </c>
      <c r="N6" s="319" t="s">
        <v>15</v>
      </c>
    </row>
    <row r="7" spans="1:37" ht="15" customHeight="1" x14ac:dyDescent="0.25">
      <c r="A7" s="127" t="s">
        <v>16</v>
      </c>
      <c r="B7" s="285">
        <f>+'CUSPT AÑO 1 '!B7</f>
        <v>44753.727860347302</v>
      </c>
      <c r="C7" s="296">
        <v>1</v>
      </c>
      <c r="D7" s="320" t="e">
        <f>SUMIF([14]Ram!F3:F989,"SD",[14]Ram!G3:G989)</f>
        <v>#VALUE!</v>
      </c>
      <c r="E7" s="296">
        <v>1</v>
      </c>
      <c r="F7" s="321" t="e">
        <f>IF(B7&gt;0,B7/D7,0)</f>
        <v>#VALUE!</v>
      </c>
      <c r="H7" s="295" t="s">
        <v>17</v>
      </c>
      <c r="I7" s="299">
        <v>0</v>
      </c>
      <c r="J7" s="300" t="s">
        <v>9</v>
      </c>
      <c r="L7" s="322" t="s">
        <v>18</v>
      </c>
      <c r="M7" s="323">
        <f>[14]ENERGIA!L2</f>
        <v>4803.3277344140997</v>
      </c>
      <c r="N7" s="324" t="s">
        <v>15</v>
      </c>
    </row>
    <row r="9" spans="1:37" ht="15" customHeight="1" x14ac:dyDescent="0.25">
      <c r="A9" s="496" t="s">
        <v>19</v>
      </c>
      <c r="B9" s="496"/>
      <c r="C9" s="496"/>
      <c r="D9" s="496"/>
      <c r="E9" s="496"/>
      <c r="F9" s="496"/>
      <c r="G9" s="496"/>
      <c r="H9" s="496"/>
      <c r="I9" s="496"/>
      <c r="J9" s="496"/>
      <c r="K9" s="496"/>
      <c r="L9" s="496"/>
    </row>
    <row r="10" spans="1:37" ht="15" customHeight="1" x14ac:dyDescent="0.25">
      <c r="A10" s="325" t="s">
        <v>20</v>
      </c>
      <c r="B10" s="326">
        <v>1</v>
      </c>
      <c r="C10" s="327">
        <v>2</v>
      </c>
      <c r="D10" s="327">
        <v>3</v>
      </c>
      <c r="E10" s="327">
        <v>4</v>
      </c>
      <c r="F10" s="327">
        <v>5</v>
      </c>
      <c r="G10" s="327">
        <v>6</v>
      </c>
      <c r="H10" s="327">
        <v>7</v>
      </c>
      <c r="I10" s="327">
        <v>8</v>
      </c>
      <c r="J10" s="327">
        <v>9</v>
      </c>
      <c r="K10" s="328">
        <v>10</v>
      </c>
      <c r="L10" s="329" t="s">
        <v>21</v>
      </c>
    </row>
    <row r="11" spans="1:37" ht="15" customHeight="1" x14ac:dyDescent="0.25">
      <c r="A11" s="330" t="s">
        <v>22</v>
      </c>
      <c r="B11" s="331">
        <f t="shared" ref="B11:K11" si="0">SUMIF($S$17:$S$1016,B$10,$D$17:$D$1016)</f>
        <v>212.7946</v>
      </c>
      <c r="C11" s="331">
        <f t="shared" si="0"/>
        <v>537.79999999999995</v>
      </c>
      <c r="D11" s="331">
        <f t="shared" si="0"/>
        <v>155.26999999999998</v>
      </c>
      <c r="E11" s="331">
        <f t="shared" si="0"/>
        <v>343.2</v>
      </c>
      <c r="F11" s="331">
        <f t="shared" si="0"/>
        <v>150.638621</v>
      </c>
      <c r="G11" s="331">
        <f t="shared" si="0"/>
        <v>151.30000000000001</v>
      </c>
      <c r="H11" s="331">
        <f t="shared" si="0"/>
        <v>159.33000000000001</v>
      </c>
      <c r="I11" s="331">
        <f t="shared" si="0"/>
        <v>260</v>
      </c>
      <c r="J11" s="331">
        <f t="shared" si="0"/>
        <v>740.45</v>
      </c>
      <c r="K11" s="331">
        <f t="shared" si="0"/>
        <v>252.17</v>
      </c>
      <c r="L11" s="332">
        <f>SUM(B11:K11)</f>
        <v>2962.9532209999998</v>
      </c>
      <c r="M11" s="333">
        <f>SUM(D17,D37,D45,D53,D97,D146,D153,D160,D163,D172)</f>
        <v>2962.9532209999998</v>
      </c>
    </row>
    <row r="12" spans="1:37" ht="15" customHeight="1" x14ac:dyDescent="0.25">
      <c r="A12" s="334" t="s">
        <v>23</v>
      </c>
      <c r="B12" s="335">
        <f t="shared" ref="B12:K12" si="1">SUMIF($T$17:$T$1006,B$10,$AI$17:$AI$1006)</f>
        <v>23.37</v>
      </c>
      <c r="C12" s="335">
        <f t="shared" si="1"/>
        <v>0</v>
      </c>
      <c r="D12" s="335">
        <f t="shared" si="1"/>
        <v>0.1</v>
      </c>
      <c r="E12" s="335">
        <f t="shared" si="1"/>
        <v>122.86</v>
      </c>
      <c r="F12" s="335">
        <f t="shared" si="1"/>
        <v>566.55999999999995</v>
      </c>
      <c r="G12" s="335">
        <f t="shared" si="1"/>
        <v>183.27</v>
      </c>
      <c r="H12" s="335">
        <f t="shared" si="1"/>
        <v>1126.7800000000002</v>
      </c>
      <c r="I12" s="335">
        <f t="shared" si="1"/>
        <v>2.4</v>
      </c>
      <c r="J12" s="335">
        <f t="shared" si="1"/>
        <v>129.75</v>
      </c>
      <c r="K12" s="335">
        <f t="shared" si="1"/>
        <v>45.04</v>
      </c>
      <c r="L12" s="336">
        <f>SUM(B12:K12)</f>
        <v>2200.13</v>
      </c>
      <c r="M12" s="333">
        <f>SUM(AI17,AI22,AI24,AI28,AI33,AI43,AI50,AI68,AI72,AI80)</f>
        <v>2200.13</v>
      </c>
    </row>
    <row r="13" spans="1:37" ht="15" customHeight="1" x14ac:dyDescent="0.25">
      <c r="M13" s="337"/>
    </row>
    <row r="14" spans="1:37" ht="15" customHeight="1" x14ac:dyDescent="0.25">
      <c r="A14" s="338"/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9">
        <f t="shared" ref="W14:AI14" si="2">+W17+W22+W24+W28+W33+W43+W50+W68+W72+W80</f>
        <v>1778.4082769999998</v>
      </c>
      <c r="X14" s="339">
        <f t="shared" si="2"/>
        <v>1837.7390619999996</v>
      </c>
      <c r="Y14" s="339">
        <f t="shared" si="2"/>
        <v>1816.97</v>
      </c>
      <c r="Z14" s="339">
        <f t="shared" si="2"/>
        <v>1727.0200000000002</v>
      </c>
      <c r="AA14" s="339">
        <f t="shared" si="2"/>
        <v>1822.1856699999998</v>
      </c>
      <c r="AB14" s="339">
        <f t="shared" si="2"/>
        <v>2004.1534630000001</v>
      </c>
      <c r="AC14" s="339">
        <f t="shared" si="2"/>
        <v>1811.3636560000002</v>
      </c>
      <c r="AD14" s="339">
        <f t="shared" si="2"/>
        <v>1893.3384029999997</v>
      </c>
      <c r="AE14" s="339">
        <f t="shared" si="2"/>
        <v>1963.176285</v>
      </c>
      <c r="AF14" s="339">
        <f t="shared" si="2"/>
        <v>1956.6591169999999</v>
      </c>
      <c r="AG14" s="339">
        <f t="shared" si="2"/>
        <v>1843.1727960000001</v>
      </c>
      <c r="AH14" s="339">
        <f t="shared" si="2"/>
        <v>1796.9481169999997</v>
      </c>
      <c r="AI14" s="339">
        <f t="shared" si="2"/>
        <v>2200.13</v>
      </c>
    </row>
    <row r="15" spans="1:37" ht="15" customHeight="1" x14ac:dyDescent="0.3">
      <c r="A15" s="340" t="s">
        <v>24</v>
      </c>
      <c r="B15" s="341"/>
      <c r="C15" s="341"/>
      <c r="D15" s="342">
        <f t="shared" ref="D15:P15" si="3">+D17+D37+D45+D53+D97+D146+D153+D160+D163+D172</f>
        <v>2962.9532209999998</v>
      </c>
      <c r="E15" s="342">
        <f t="shared" si="3"/>
        <v>3056.3445999999999</v>
      </c>
      <c r="F15" s="342">
        <f t="shared" si="3"/>
        <v>2964.7646</v>
      </c>
      <c r="G15" s="342">
        <f t="shared" si="3"/>
        <v>2928.0946000000004</v>
      </c>
      <c r="H15" s="342">
        <f t="shared" si="3"/>
        <v>2958.2146000000002</v>
      </c>
      <c r="I15" s="342">
        <f t="shared" si="3"/>
        <v>2913.2646</v>
      </c>
      <c r="J15" s="342">
        <f t="shared" si="3"/>
        <v>2756.7146000000002</v>
      </c>
      <c r="K15" s="342">
        <f t="shared" si="3"/>
        <v>2894.4883929999996</v>
      </c>
      <c r="L15" s="342">
        <f t="shared" si="3"/>
        <v>2974.8933109999998</v>
      </c>
      <c r="M15" s="342">
        <f t="shared" si="3"/>
        <v>3006.2843110000003</v>
      </c>
      <c r="N15" s="342">
        <f t="shared" si="3"/>
        <v>2929.8067249999999</v>
      </c>
      <c r="O15" s="342">
        <f t="shared" si="3"/>
        <v>2934.5202319999999</v>
      </c>
      <c r="P15" s="342">
        <f t="shared" si="3"/>
        <v>2961.4791679999998</v>
      </c>
      <c r="Q15" s="341"/>
      <c r="R15" s="341"/>
      <c r="S15" s="343"/>
      <c r="T15" s="340" t="s">
        <v>25</v>
      </c>
      <c r="U15" s="341"/>
      <c r="V15" s="341"/>
      <c r="W15" s="344">
        <v>44378</v>
      </c>
      <c r="X15" s="344">
        <v>44409</v>
      </c>
      <c r="Y15" s="344">
        <v>44440</v>
      </c>
      <c r="Z15" s="344">
        <v>44470</v>
      </c>
      <c r="AA15" s="344">
        <v>44501</v>
      </c>
      <c r="AB15" s="344">
        <v>44531</v>
      </c>
      <c r="AC15" s="344">
        <v>44562</v>
      </c>
      <c r="AD15" s="344">
        <v>44593</v>
      </c>
      <c r="AE15" s="344">
        <v>44621</v>
      </c>
      <c r="AF15" s="344">
        <v>44652</v>
      </c>
      <c r="AG15" s="344">
        <v>44682</v>
      </c>
      <c r="AH15" s="344">
        <v>44713</v>
      </c>
      <c r="AI15" s="338"/>
    </row>
    <row r="16" spans="1:37" ht="25.5" x14ac:dyDescent="0.25">
      <c r="A16" s="345" t="s">
        <v>26</v>
      </c>
      <c r="B16" s="346"/>
      <c r="C16" s="347" t="s">
        <v>27</v>
      </c>
      <c r="D16" s="348" t="s">
        <v>22</v>
      </c>
      <c r="E16" s="348">
        <v>1</v>
      </c>
      <c r="F16" s="348">
        <v>2</v>
      </c>
      <c r="G16" s="348">
        <v>3</v>
      </c>
      <c r="H16" s="348">
        <v>4</v>
      </c>
      <c r="I16" s="348">
        <v>5</v>
      </c>
      <c r="J16" s="348">
        <v>6</v>
      </c>
      <c r="K16" s="348">
        <v>7</v>
      </c>
      <c r="L16" s="348">
        <v>8</v>
      </c>
      <c r="M16" s="348">
        <v>9</v>
      </c>
      <c r="N16" s="348">
        <v>10</v>
      </c>
      <c r="O16" s="348">
        <v>11</v>
      </c>
      <c r="P16" s="348">
        <v>12</v>
      </c>
      <c r="Q16" s="348" t="s">
        <v>28</v>
      </c>
      <c r="R16" s="349"/>
      <c r="S16" s="349"/>
      <c r="T16" s="350" t="s">
        <v>26</v>
      </c>
      <c r="U16" s="351"/>
      <c r="V16" s="352" t="s">
        <v>27</v>
      </c>
      <c r="W16" s="353">
        <v>1</v>
      </c>
      <c r="X16" s="353">
        <v>2</v>
      </c>
      <c r="Y16" s="353">
        <v>3</v>
      </c>
      <c r="Z16" s="353">
        <v>4</v>
      </c>
      <c r="AA16" s="353">
        <v>5</v>
      </c>
      <c r="AB16" s="353">
        <v>6</v>
      </c>
      <c r="AC16" s="353">
        <v>7</v>
      </c>
      <c r="AD16" s="353">
        <v>8</v>
      </c>
      <c r="AE16" s="353">
        <v>9</v>
      </c>
      <c r="AF16" s="353">
        <v>10</v>
      </c>
      <c r="AG16" s="353">
        <v>11</v>
      </c>
      <c r="AH16" s="353">
        <v>12</v>
      </c>
      <c r="AI16" s="353" t="s">
        <v>29</v>
      </c>
      <c r="AJ16" s="354"/>
      <c r="AK16" s="355"/>
    </row>
    <row r="17" spans="1:37" ht="15" customHeight="1" x14ac:dyDescent="0.25">
      <c r="A17" s="356">
        <v>1</v>
      </c>
      <c r="B17" s="357"/>
      <c r="C17" s="358"/>
      <c r="D17" s="359">
        <f t="shared" ref="D17:I17" si="4">SUM(D18:D29)</f>
        <v>212.7946</v>
      </c>
      <c r="E17" s="359">
        <f>SUM(E18:E29)</f>
        <v>212.7946</v>
      </c>
      <c r="F17" s="359">
        <f t="shared" si="4"/>
        <v>212.7946</v>
      </c>
      <c r="G17" s="359">
        <f t="shared" si="4"/>
        <v>212.7946</v>
      </c>
      <c r="H17" s="359">
        <f t="shared" si="4"/>
        <v>212.7946</v>
      </c>
      <c r="I17" s="359">
        <f t="shared" si="4"/>
        <v>212.7946</v>
      </c>
      <c r="J17" s="359">
        <f t="shared" ref="J17:P17" si="5">SUM(J18:J36)</f>
        <v>212.7946</v>
      </c>
      <c r="K17" s="359">
        <f t="shared" si="5"/>
        <v>212.7946</v>
      </c>
      <c r="L17" s="359">
        <f t="shared" si="5"/>
        <v>212.7946</v>
      </c>
      <c r="M17" s="359">
        <f t="shared" si="5"/>
        <v>212.7946</v>
      </c>
      <c r="N17" s="359">
        <f t="shared" si="5"/>
        <v>212.7946</v>
      </c>
      <c r="O17" s="359">
        <f t="shared" si="5"/>
        <v>212.7946</v>
      </c>
      <c r="P17" s="359">
        <f t="shared" si="5"/>
        <v>212.7946</v>
      </c>
      <c r="Q17" s="360"/>
      <c r="R17" s="361"/>
      <c r="S17" s="361"/>
      <c r="T17" s="362">
        <v>1</v>
      </c>
      <c r="U17" s="357"/>
      <c r="V17" s="358"/>
      <c r="W17" s="359">
        <f>SUM(W18:W21)</f>
        <v>15.010000000000002</v>
      </c>
      <c r="X17" s="359">
        <f t="shared" ref="X17:AI17" si="6">SUM(X18:X21)</f>
        <v>17.7</v>
      </c>
      <c r="Y17" s="359">
        <f t="shared" si="6"/>
        <v>18.38</v>
      </c>
      <c r="Z17" s="359">
        <f t="shared" si="6"/>
        <v>16.41</v>
      </c>
      <c r="AA17" s="359">
        <f t="shared" si="6"/>
        <v>15.86</v>
      </c>
      <c r="AB17" s="359">
        <f t="shared" si="6"/>
        <v>22.990000000000002</v>
      </c>
      <c r="AC17" s="359">
        <f t="shared" si="6"/>
        <v>17.36</v>
      </c>
      <c r="AD17" s="359">
        <f>SUM(AD18:AD21)</f>
        <v>17.22</v>
      </c>
      <c r="AE17" s="359">
        <f t="shared" si="6"/>
        <v>19.48</v>
      </c>
      <c r="AF17" s="359">
        <f t="shared" si="6"/>
        <v>16.919999999999998</v>
      </c>
      <c r="AG17" s="359">
        <f t="shared" si="6"/>
        <v>16.309999999999999</v>
      </c>
      <c r="AH17" s="359">
        <f t="shared" si="6"/>
        <v>14.9</v>
      </c>
      <c r="AI17" s="359">
        <f t="shared" si="6"/>
        <v>23.37</v>
      </c>
      <c r="AJ17" s="337"/>
      <c r="AK17" s="337"/>
    </row>
    <row r="18" spans="1:37" ht="15" customHeight="1" x14ac:dyDescent="0.25">
      <c r="A18" s="80" t="s">
        <v>30</v>
      </c>
      <c r="B18" s="338"/>
      <c r="C18" s="81">
        <v>6014</v>
      </c>
      <c r="D18" s="82">
        <v>87.6</v>
      </c>
      <c r="E18" s="363">
        <v>87.6</v>
      </c>
      <c r="F18" s="363">
        <v>87.6</v>
      </c>
      <c r="G18" s="363">
        <v>87.6</v>
      </c>
      <c r="H18" s="363">
        <v>87.6</v>
      </c>
      <c r="I18" s="363">
        <v>87.6</v>
      </c>
      <c r="J18" s="363">
        <v>87.6</v>
      </c>
      <c r="K18" s="363">
        <v>87.6</v>
      </c>
      <c r="L18" s="363">
        <v>87.6</v>
      </c>
      <c r="M18" s="363">
        <v>87.6</v>
      </c>
      <c r="N18" s="363">
        <v>87.6</v>
      </c>
      <c r="O18" s="363">
        <v>87.6</v>
      </c>
      <c r="P18" s="363">
        <v>87.6</v>
      </c>
      <c r="Q18" s="83">
        <v>0</v>
      </c>
      <c r="R18" s="96" t="str">
        <f>IFERROR(VLOOKUP($C18,[15]Nod!$A$3:$E$992,4,FALSE)," ")</f>
        <v>PRO230</v>
      </c>
      <c r="S18" s="96">
        <f>IFERROR(VLOOKUP($C18,[15]Nod!$A$3:$E$992,5,FALSE)," ")</f>
        <v>1</v>
      </c>
      <c r="T18" s="364" t="s">
        <v>31</v>
      </c>
      <c r="U18" s="338"/>
      <c r="V18" s="81"/>
      <c r="W18" s="363"/>
      <c r="X18" s="363"/>
      <c r="Y18" s="363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37"/>
      <c r="AK18" s="337"/>
    </row>
    <row r="19" spans="1:37" ht="15" customHeight="1" x14ac:dyDescent="0.25">
      <c r="A19" s="80" t="s">
        <v>32</v>
      </c>
      <c r="B19" s="338"/>
      <c r="C19" s="81">
        <v>6014</v>
      </c>
      <c r="D19" s="82">
        <v>57.4</v>
      </c>
      <c r="E19" s="363">
        <v>57.4</v>
      </c>
      <c r="F19" s="363">
        <v>57.4</v>
      </c>
      <c r="G19" s="363">
        <v>57.4</v>
      </c>
      <c r="H19" s="363">
        <v>57.4</v>
      </c>
      <c r="I19" s="363">
        <v>57.4</v>
      </c>
      <c r="J19" s="363">
        <v>57.4</v>
      </c>
      <c r="K19" s="363">
        <v>57.4</v>
      </c>
      <c r="L19" s="363">
        <v>57.4</v>
      </c>
      <c r="M19" s="363">
        <v>57.4</v>
      </c>
      <c r="N19" s="363">
        <v>57.4</v>
      </c>
      <c r="O19" s="363">
        <v>57.4</v>
      </c>
      <c r="P19" s="363">
        <v>57.4</v>
      </c>
      <c r="Q19" s="83">
        <v>0</v>
      </c>
      <c r="R19" s="96" t="str">
        <f>IFERROR(VLOOKUP($C19,[15]Nod!$A$3:$E$992,4,FALSE)," ")</f>
        <v>PRO230</v>
      </c>
      <c r="S19" s="96">
        <f>IFERROR(VLOOKUP($C19,[15]Nod!$A$3:$E$992,5,FALSE)," ")</f>
        <v>1</v>
      </c>
      <c r="T19" s="365" t="s">
        <v>33</v>
      </c>
      <c r="U19" s="338"/>
      <c r="V19" s="81">
        <v>6014</v>
      </c>
      <c r="W19" s="363">
        <f>+'[16]Resumen Modelo'!G9</f>
        <v>14.47</v>
      </c>
      <c r="X19" s="363">
        <f>+'[16]Resumen Modelo'!H9</f>
        <v>16.75</v>
      </c>
      <c r="Y19" s="363">
        <f>+'[16]Resumen Modelo'!I9</f>
        <v>17.5</v>
      </c>
      <c r="Z19" s="363">
        <f>+'[16]Resumen Modelo'!J9</f>
        <v>15.41</v>
      </c>
      <c r="AA19" s="363">
        <f>+'[16]Resumen Modelo'!K9</f>
        <v>14.94</v>
      </c>
      <c r="AB19" s="363">
        <f>+'[16]Resumen Modelo'!L9</f>
        <v>22.37</v>
      </c>
      <c r="AC19" s="363">
        <f>+'[16]Resumen Modelo'!M9</f>
        <v>16.68</v>
      </c>
      <c r="AD19" s="363">
        <f>+'[16]Resumen Modelo'!N9</f>
        <v>16.38</v>
      </c>
      <c r="AE19" s="363">
        <f>+'[16]Resumen Modelo'!O9</f>
        <v>18.62</v>
      </c>
      <c r="AF19" s="363">
        <f>+'[16]Resumen Modelo'!P9</f>
        <v>16.329999999999998</v>
      </c>
      <c r="AG19" s="363">
        <f>+'[16]Resumen Modelo'!Q9</f>
        <v>15.68</v>
      </c>
      <c r="AH19" s="363">
        <f>+'[16]Resumen Modelo'!R9</f>
        <v>14.3</v>
      </c>
      <c r="AI19" s="363">
        <f>+MAX(W19:AH19)</f>
        <v>22.37</v>
      </c>
      <c r="AJ19" s="337" t="str">
        <f>IFERROR(VLOOKUP($V19,#REF!,4,FALSE)," ")</f>
        <v xml:space="preserve"> </v>
      </c>
      <c r="AK19" s="337" t="str">
        <f>IFERROR(VLOOKUP($V19,#REF!,5,FALSE)," ")</f>
        <v xml:space="preserve"> </v>
      </c>
    </row>
    <row r="20" spans="1:37" ht="15" customHeight="1" x14ac:dyDescent="0.25">
      <c r="A20" s="80" t="s">
        <v>34</v>
      </c>
      <c r="B20" s="338"/>
      <c r="C20" s="81">
        <v>6014</v>
      </c>
      <c r="D20" s="82">
        <v>30</v>
      </c>
      <c r="E20" s="363">
        <v>30</v>
      </c>
      <c r="F20" s="363">
        <v>30</v>
      </c>
      <c r="G20" s="363">
        <v>30</v>
      </c>
      <c r="H20" s="363">
        <v>30</v>
      </c>
      <c r="I20" s="363">
        <v>30</v>
      </c>
      <c r="J20" s="363">
        <v>30</v>
      </c>
      <c r="K20" s="363">
        <v>30</v>
      </c>
      <c r="L20" s="363">
        <v>30</v>
      </c>
      <c r="M20" s="363">
        <v>30</v>
      </c>
      <c r="N20" s="363">
        <v>30</v>
      </c>
      <c r="O20" s="363">
        <v>30</v>
      </c>
      <c r="P20" s="363">
        <v>30</v>
      </c>
      <c r="Q20" s="83">
        <v>0</v>
      </c>
      <c r="R20" s="96" t="str">
        <f>IFERROR(VLOOKUP($C20,[15]Nod!$A$3:$E$992,4,FALSE)," ")</f>
        <v>PRO230</v>
      </c>
      <c r="S20" s="96">
        <f>IFERROR(VLOOKUP($C20,[15]Nod!$A$3:$E$992,5,FALSE)," ")</f>
        <v>1</v>
      </c>
      <c r="T20" s="365" t="s">
        <v>35</v>
      </c>
      <c r="U20" s="338"/>
      <c r="V20" s="81">
        <v>6014</v>
      </c>
      <c r="W20" s="363">
        <f>+'[16]Resumen Modelo'!G10</f>
        <v>0.54</v>
      </c>
      <c r="X20" s="363">
        <f>+'[16]Resumen Modelo'!H10</f>
        <v>0.95</v>
      </c>
      <c r="Y20" s="363">
        <f>+'[16]Resumen Modelo'!I10</f>
        <v>0.88</v>
      </c>
      <c r="Z20" s="363">
        <f>+'[16]Resumen Modelo'!J10</f>
        <v>1</v>
      </c>
      <c r="AA20" s="363">
        <f>+'[16]Resumen Modelo'!K10</f>
        <v>0.92</v>
      </c>
      <c r="AB20" s="363">
        <f>+'[16]Resumen Modelo'!L10</f>
        <v>0.62</v>
      </c>
      <c r="AC20" s="363">
        <f>+'[16]Resumen Modelo'!M10</f>
        <v>0.68</v>
      </c>
      <c r="AD20" s="363">
        <f>+'[16]Resumen Modelo'!N10</f>
        <v>0.84</v>
      </c>
      <c r="AE20" s="363">
        <f>+'[16]Resumen Modelo'!O10</f>
        <v>0.86</v>
      </c>
      <c r="AF20" s="363">
        <f>+'[16]Resumen Modelo'!P10</f>
        <v>0.59</v>
      </c>
      <c r="AG20" s="363">
        <f>+'[16]Resumen Modelo'!Q10</f>
        <v>0.63</v>
      </c>
      <c r="AH20" s="363">
        <f>+'[16]Resumen Modelo'!R10</f>
        <v>0.6</v>
      </c>
      <c r="AI20" s="363">
        <f>+MAX(W20:AH20)</f>
        <v>1</v>
      </c>
      <c r="AJ20" s="337" t="str">
        <f>IFERROR(VLOOKUP($V20,#REF!,4,FALSE)," ")</f>
        <v xml:space="preserve"> </v>
      </c>
      <c r="AK20" s="337" t="str">
        <f>IFERROR(VLOOKUP($V20,#REF!,5,FALSE)," ")</f>
        <v xml:space="preserve"> </v>
      </c>
    </row>
    <row r="21" spans="1:37" ht="15" customHeight="1" x14ac:dyDescent="0.25">
      <c r="A21" s="80" t="s">
        <v>36</v>
      </c>
      <c r="B21" s="338"/>
      <c r="C21" s="81">
        <v>6014</v>
      </c>
      <c r="D21" s="82">
        <v>27.9</v>
      </c>
      <c r="E21" s="363">
        <v>27.9</v>
      </c>
      <c r="F21" s="363">
        <v>27.9</v>
      </c>
      <c r="G21" s="363">
        <v>27.9</v>
      </c>
      <c r="H21" s="363">
        <v>27.9</v>
      </c>
      <c r="I21" s="363">
        <v>27.9</v>
      </c>
      <c r="J21" s="363">
        <v>27.9</v>
      </c>
      <c r="K21" s="363">
        <v>27.9</v>
      </c>
      <c r="L21" s="363">
        <v>27.9</v>
      </c>
      <c r="M21" s="363">
        <v>27.9</v>
      </c>
      <c r="N21" s="363">
        <v>27.9</v>
      </c>
      <c r="O21" s="363">
        <v>27.9</v>
      </c>
      <c r="P21" s="363">
        <v>27.9</v>
      </c>
      <c r="Q21" s="83">
        <v>0</v>
      </c>
      <c r="R21" s="96" t="str">
        <f>IFERROR(VLOOKUP($C21,[15]Nod!$A$3:$E$992,4,FALSE)," ")</f>
        <v>PRO230</v>
      </c>
      <c r="S21" s="96">
        <f>IFERROR(VLOOKUP($C21,[15]Nod!$A$3:$E$992,5,FALSE)," ")</f>
        <v>1</v>
      </c>
      <c r="T21" s="366" t="s">
        <v>37</v>
      </c>
      <c r="U21" s="367"/>
      <c r="V21" s="368"/>
      <c r="W21" s="363"/>
      <c r="X21" s="363"/>
      <c r="Y21" s="363"/>
      <c r="Z21" s="363"/>
      <c r="AA21" s="363"/>
      <c r="AB21" s="363"/>
      <c r="AC21" s="363"/>
      <c r="AD21" s="363"/>
      <c r="AE21" s="363"/>
      <c r="AF21" s="363"/>
      <c r="AG21" s="363"/>
      <c r="AH21" s="363"/>
      <c r="AI21" s="369"/>
      <c r="AJ21" s="337" t="str">
        <f>IFERROR(VLOOKUP($V21,#REF!,4,FALSE)," ")</f>
        <v xml:space="preserve"> </v>
      </c>
      <c r="AK21" s="337" t="str">
        <f>IFERROR(VLOOKUP($V21,#REF!,5,FALSE)," ")</f>
        <v xml:space="preserve"> </v>
      </c>
    </row>
    <row r="22" spans="1:37" ht="15" customHeight="1" x14ac:dyDescent="0.25">
      <c r="A22" s="80" t="s">
        <v>38</v>
      </c>
      <c r="B22" s="338"/>
      <c r="C22" s="81">
        <v>6014</v>
      </c>
      <c r="D22" s="82">
        <v>9.8946000000000005</v>
      </c>
      <c r="E22" s="363">
        <v>9.8946000000000005</v>
      </c>
      <c r="F22" s="363">
        <v>9.8946000000000005</v>
      </c>
      <c r="G22" s="363">
        <v>9.8946000000000005</v>
      </c>
      <c r="H22" s="363">
        <v>9.8946000000000005</v>
      </c>
      <c r="I22" s="363">
        <v>9.8946000000000005</v>
      </c>
      <c r="J22" s="363">
        <v>9.8946000000000005</v>
      </c>
      <c r="K22" s="363">
        <v>9.8946000000000005</v>
      </c>
      <c r="L22" s="363">
        <v>9.8946000000000005</v>
      </c>
      <c r="M22" s="363">
        <v>9.8946000000000005</v>
      </c>
      <c r="N22" s="363">
        <v>9.8946000000000005</v>
      </c>
      <c r="O22" s="363">
        <v>9.8946000000000005</v>
      </c>
      <c r="P22" s="363">
        <v>9.8946000000000005</v>
      </c>
      <c r="Q22" s="83">
        <v>0</v>
      </c>
      <c r="R22" s="96" t="str">
        <f>IFERROR(VLOOKUP($C22,[15]Nod!$A$3:$E$992,4,FALSE)," ")</f>
        <v>PRO230</v>
      </c>
      <c r="S22" s="96">
        <f>IFERROR(VLOOKUP($C22,[15]Nod!$A$3:$E$992,5,FALSE)," ")</f>
        <v>1</v>
      </c>
      <c r="T22" s="370">
        <v>2</v>
      </c>
      <c r="U22" s="371"/>
      <c r="V22" s="372"/>
      <c r="W22" s="373">
        <f>+'[16]Resumen Modelo'!G12</f>
        <v>0</v>
      </c>
      <c r="X22" s="373">
        <f>+'[16]Resumen Modelo'!H12</f>
        <v>0</v>
      </c>
      <c r="Y22" s="373">
        <f>+'[16]Resumen Modelo'!I12</f>
        <v>0</v>
      </c>
      <c r="Z22" s="373">
        <f>+'[16]Resumen Modelo'!J12</f>
        <v>0</v>
      </c>
      <c r="AA22" s="373">
        <f>+'[16]Resumen Modelo'!K12</f>
        <v>0</v>
      </c>
      <c r="AB22" s="373">
        <f>+'[16]Resumen Modelo'!L12</f>
        <v>0</v>
      </c>
      <c r="AC22" s="373">
        <f>+'[16]Resumen Modelo'!M12</f>
        <v>0</v>
      </c>
      <c r="AD22" s="373">
        <f>+'[16]Resumen Modelo'!N12</f>
        <v>0</v>
      </c>
      <c r="AE22" s="373">
        <f>+'[16]Resumen Modelo'!O12</f>
        <v>0</v>
      </c>
      <c r="AF22" s="373">
        <f>+'[16]Resumen Modelo'!P12</f>
        <v>0</v>
      </c>
      <c r="AG22" s="373">
        <f>+'[16]Resumen Modelo'!Q12</f>
        <v>0</v>
      </c>
      <c r="AH22" s="373">
        <f>+'[16]Resumen Modelo'!R12</f>
        <v>0</v>
      </c>
      <c r="AI22" s="373">
        <f>SUM(AI23)</f>
        <v>0</v>
      </c>
      <c r="AJ22" s="337"/>
      <c r="AK22" s="337"/>
    </row>
    <row r="23" spans="1:37" ht="15" customHeight="1" x14ac:dyDescent="0.25">
      <c r="A23" s="80" t="s">
        <v>39</v>
      </c>
      <c r="B23" s="338"/>
      <c r="C23" s="81">
        <v>6014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374"/>
      <c r="R23" s="96" t="str">
        <f>IFERROR(VLOOKUP($C23,[15]Nod!$A$3:$E$992,4,FALSE)," ")</f>
        <v>PRO230</v>
      </c>
      <c r="S23" s="96">
        <f>IFERROR(VLOOKUP($C23,[15]Nod!$A$3:$E$992,5,FALSE)," ")</f>
        <v>1</v>
      </c>
      <c r="T23" s="366" t="s">
        <v>37</v>
      </c>
      <c r="U23" s="367"/>
      <c r="V23" s="368"/>
      <c r="W23" s="363">
        <f>+'[16]Resumen Modelo'!G13</f>
        <v>0</v>
      </c>
      <c r="X23" s="363">
        <f>+'[16]Resumen Modelo'!H13</f>
        <v>0</v>
      </c>
      <c r="Y23" s="363">
        <f>+'[16]Resumen Modelo'!I13</f>
        <v>0</v>
      </c>
      <c r="Z23" s="363">
        <f>+'[16]Resumen Modelo'!J13</f>
        <v>0</v>
      </c>
      <c r="AA23" s="363">
        <f>+'[16]Resumen Modelo'!K13</f>
        <v>0</v>
      </c>
      <c r="AB23" s="363">
        <f>+'[16]Resumen Modelo'!L13</f>
        <v>0</v>
      </c>
      <c r="AC23" s="363">
        <f>+'[16]Resumen Modelo'!M13</f>
        <v>0</v>
      </c>
      <c r="AD23" s="363">
        <f>+'[16]Resumen Modelo'!N13</f>
        <v>0</v>
      </c>
      <c r="AE23" s="363">
        <f>+'[16]Resumen Modelo'!O13</f>
        <v>0</v>
      </c>
      <c r="AF23" s="363">
        <f>+'[16]Resumen Modelo'!P13</f>
        <v>0</v>
      </c>
      <c r="AG23" s="363">
        <f>+'[16]Resumen Modelo'!Q13</f>
        <v>0</v>
      </c>
      <c r="AH23" s="363">
        <f>+'[16]Resumen Modelo'!R13</f>
        <v>0</v>
      </c>
      <c r="AI23" s="369"/>
      <c r="AJ23" s="337" t="str">
        <f>IFERROR(VLOOKUP($V22,#REF!,4,FALSE)," ")</f>
        <v xml:space="preserve"> </v>
      </c>
      <c r="AK23" s="337" t="str">
        <f>IFERROR(VLOOKUP($V22,#REF!,5,FALSE)," ")</f>
        <v xml:space="preserve"> </v>
      </c>
    </row>
    <row r="24" spans="1:37" ht="15" customHeight="1" x14ac:dyDescent="0.25">
      <c r="A24" s="80" t="s">
        <v>40</v>
      </c>
      <c r="B24" s="338"/>
      <c r="C24" s="81">
        <v>6014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374"/>
      <c r="R24" s="96" t="str">
        <f>IFERROR(VLOOKUP($C24,[15]Nod!$A$3:$E$992,4,FALSE)," ")</f>
        <v>PRO230</v>
      </c>
      <c r="S24" s="96">
        <f>IFERROR(VLOOKUP($C24,[15]Nod!$A$3:$E$992,5,FALSE)," ")</f>
        <v>1</v>
      </c>
      <c r="T24" s="362">
        <v>3</v>
      </c>
      <c r="U24" s="357"/>
      <c r="V24" s="358"/>
      <c r="W24" s="375">
        <f>SUM(W25:W27)</f>
        <v>0.06</v>
      </c>
      <c r="X24" s="373">
        <f>+'[16]Resumen Modelo'!H14</f>
        <v>0.1</v>
      </c>
      <c r="Y24" s="373">
        <f>+'[16]Resumen Modelo'!I14</f>
        <v>0.09</v>
      </c>
      <c r="Z24" s="373">
        <f>+'[16]Resumen Modelo'!J14</f>
        <v>0.1</v>
      </c>
      <c r="AA24" s="373">
        <f>+'[16]Resumen Modelo'!K14</f>
        <v>0.06</v>
      </c>
      <c r="AB24" s="373">
        <f>+'[16]Resumen Modelo'!L14</f>
        <v>0.06</v>
      </c>
      <c r="AC24" s="373">
        <f>+'[16]Resumen Modelo'!M14</f>
        <v>0.09</v>
      </c>
      <c r="AD24" s="373">
        <f>+'[16]Resumen Modelo'!N14</f>
        <v>0.1</v>
      </c>
      <c r="AE24" s="373">
        <f>+'[16]Resumen Modelo'!O14</f>
        <v>0.06</v>
      </c>
      <c r="AF24" s="373">
        <f>+'[16]Resumen Modelo'!P14</f>
        <v>0.1</v>
      </c>
      <c r="AG24" s="373">
        <f>+'[16]Resumen Modelo'!Q14</f>
        <v>0.09</v>
      </c>
      <c r="AH24" s="373">
        <f>+'[16]Resumen Modelo'!R14</f>
        <v>0.09</v>
      </c>
      <c r="AI24" s="359">
        <f>SUM(AI25:AI27)</f>
        <v>0.1</v>
      </c>
      <c r="AJ24" s="337" t="str">
        <f>IFERROR(VLOOKUP($V23,#REF!,4,FALSE)," ")</f>
        <v xml:space="preserve"> </v>
      </c>
      <c r="AK24" s="337" t="str">
        <f>IFERROR(VLOOKUP($V23,#REF!,5,FALSE)," ")</f>
        <v xml:space="preserve"> </v>
      </c>
    </row>
    <row r="25" spans="1:37" ht="25.5" x14ac:dyDescent="0.25">
      <c r="A25" s="376" t="s">
        <v>41</v>
      </c>
      <c r="B25" s="338"/>
      <c r="C25" s="81">
        <v>6014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374"/>
      <c r="R25" s="96" t="str">
        <f>IFERROR(VLOOKUP($C25,[15]Nod!$A$3:$E$992,4,FALSE)," ")</f>
        <v>PRO230</v>
      </c>
      <c r="S25" s="96">
        <f>IFERROR(VLOOKUP($C25,[15]Nod!$A$3:$E$992,5,FALSE)," ")</f>
        <v>1</v>
      </c>
      <c r="T25" s="364" t="s">
        <v>31</v>
      </c>
      <c r="U25" s="338"/>
      <c r="V25" s="81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37"/>
      <c r="AK25" s="337"/>
    </row>
    <row r="26" spans="1:37" ht="25.5" x14ac:dyDescent="0.25">
      <c r="A26" s="376" t="s">
        <v>42</v>
      </c>
      <c r="B26" s="338"/>
      <c r="C26" s="81">
        <v>6014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374"/>
      <c r="R26" s="96" t="str">
        <f>IFERROR(VLOOKUP($C26,[15]Nod!$A$3:$E$992,4,FALSE)," ")</f>
        <v>PRO230</v>
      </c>
      <c r="S26" s="96">
        <f>IFERROR(VLOOKUP($C26,[15]Nod!$A$3:$E$992,5,FALSE)," ")</f>
        <v>1</v>
      </c>
      <c r="T26" s="365" t="s">
        <v>43</v>
      </c>
      <c r="U26" s="338"/>
      <c r="V26" s="81">
        <v>6087</v>
      </c>
      <c r="W26" s="363">
        <f>+'[16]Resumen Modelo'!G16</f>
        <v>0.06</v>
      </c>
      <c r="X26" s="363">
        <f>+'[16]Resumen Modelo'!H16</f>
        <v>0.1</v>
      </c>
      <c r="Y26" s="363">
        <f>+'[16]Resumen Modelo'!I16</f>
        <v>0.09</v>
      </c>
      <c r="Z26" s="363">
        <f>+'[16]Resumen Modelo'!J16</f>
        <v>0.1</v>
      </c>
      <c r="AA26" s="363">
        <f>+'[16]Resumen Modelo'!K16</f>
        <v>0.06</v>
      </c>
      <c r="AB26" s="363">
        <f>+'[16]Resumen Modelo'!L16</f>
        <v>0.06</v>
      </c>
      <c r="AC26" s="363">
        <f>+'[16]Resumen Modelo'!M16</f>
        <v>0.09</v>
      </c>
      <c r="AD26" s="363">
        <f>+'[16]Resumen Modelo'!N16</f>
        <v>0.1</v>
      </c>
      <c r="AE26" s="363">
        <f>+'[16]Resumen Modelo'!O16</f>
        <v>0.06</v>
      </c>
      <c r="AF26" s="363">
        <f>+'[16]Resumen Modelo'!P16</f>
        <v>0.1</v>
      </c>
      <c r="AG26" s="363">
        <f>+'[16]Resumen Modelo'!Q16</f>
        <v>0.09</v>
      </c>
      <c r="AH26" s="363">
        <f>+'[16]Resumen Modelo'!R16</f>
        <v>0.09</v>
      </c>
      <c r="AI26" s="363">
        <f>+MAX(W26:AH26)</f>
        <v>0.1</v>
      </c>
      <c r="AJ26" s="337"/>
      <c r="AK26" s="337"/>
    </row>
    <row r="27" spans="1:37" ht="15" customHeight="1" x14ac:dyDescent="0.25">
      <c r="A27" s="80" t="s">
        <v>44</v>
      </c>
      <c r="B27" s="338"/>
      <c r="C27" s="81">
        <v>6014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374"/>
      <c r="R27" s="96" t="str">
        <f>IFERROR(VLOOKUP($C27,[15]Nod!$A$3:$E$992,4,FALSE)," ")</f>
        <v>PRO230</v>
      </c>
      <c r="S27" s="96">
        <f>IFERROR(VLOOKUP($C27,[15]Nod!$A$3:$E$992,5,FALSE)," ")</f>
        <v>1</v>
      </c>
      <c r="T27" s="377" t="s">
        <v>37</v>
      </c>
      <c r="U27" s="338"/>
      <c r="V27" s="81"/>
      <c r="W27" s="363">
        <f>+'[16]Resumen Modelo'!G17</f>
        <v>0</v>
      </c>
      <c r="X27" s="363">
        <f>+'[16]Resumen Modelo'!H17</f>
        <v>0</v>
      </c>
      <c r="Y27" s="363">
        <f>+'[16]Resumen Modelo'!I17</f>
        <v>0</v>
      </c>
      <c r="Z27" s="363">
        <f>+'[16]Resumen Modelo'!J17</f>
        <v>0</v>
      </c>
      <c r="AA27" s="363">
        <f>+'[16]Resumen Modelo'!K17</f>
        <v>0</v>
      </c>
      <c r="AB27" s="363">
        <f>+'[16]Resumen Modelo'!L17</f>
        <v>0</v>
      </c>
      <c r="AC27" s="363">
        <f>+'[16]Resumen Modelo'!M17</f>
        <v>0</v>
      </c>
      <c r="AD27" s="363">
        <f>+'[16]Resumen Modelo'!N17</f>
        <v>0</v>
      </c>
      <c r="AE27" s="363">
        <f>+'[16]Resumen Modelo'!O17</f>
        <v>0</v>
      </c>
      <c r="AF27" s="363">
        <f>+'[16]Resumen Modelo'!P17</f>
        <v>0</v>
      </c>
      <c r="AG27" s="363">
        <f>+'[16]Resumen Modelo'!Q17</f>
        <v>0</v>
      </c>
      <c r="AH27" s="363">
        <f>+'[16]Resumen Modelo'!R17</f>
        <v>0</v>
      </c>
      <c r="AI27" s="363"/>
      <c r="AJ27" s="337"/>
      <c r="AK27" s="337"/>
    </row>
    <row r="28" spans="1:37" ht="15" customHeight="1" x14ac:dyDescent="0.25">
      <c r="A28" s="80" t="s">
        <v>45</v>
      </c>
      <c r="B28" s="80"/>
      <c r="C28" s="81">
        <v>6014</v>
      </c>
      <c r="D28" s="82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  <c r="R28" s="96" t="str">
        <f>IFERROR(VLOOKUP($C28,[15]Nod!$A$3:$E$992,4,FALSE)," ")</f>
        <v>PRO230</v>
      </c>
      <c r="S28" s="96">
        <f>IFERROR(VLOOKUP($C28,[15]Nod!$A$3:$E$992,5,FALSE)," ")</f>
        <v>1</v>
      </c>
      <c r="T28" s="378">
        <v>4</v>
      </c>
      <c r="U28" s="371"/>
      <c r="V28" s="372"/>
      <c r="W28" s="373">
        <f>SUM(W29:W32)</f>
        <v>106.53</v>
      </c>
      <c r="X28" s="373">
        <f>+'[16]Resumen Modelo'!H18</f>
        <v>115.74</v>
      </c>
      <c r="Y28" s="373">
        <f>+'[16]Resumen Modelo'!I18</f>
        <v>111.65</v>
      </c>
      <c r="Z28" s="373">
        <f>+'[16]Resumen Modelo'!J18</f>
        <v>114.88</v>
      </c>
      <c r="AA28" s="373">
        <f>+'[16]Resumen Modelo'!K18</f>
        <v>112.52</v>
      </c>
      <c r="AB28" s="373">
        <f>+'[16]Resumen Modelo'!L18</f>
        <v>107.92</v>
      </c>
      <c r="AC28" s="373">
        <f>+'[16]Resumen Modelo'!M18</f>
        <v>101.83</v>
      </c>
      <c r="AD28" s="373">
        <f>+'[16]Resumen Modelo'!N18</f>
        <v>103.17</v>
      </c>
      <c r="AE28" s="373">
        <f>+'[16]Resumen Modelo'!O18</f>
        <v>122.86</v>
      </c>
      <c r="AF28" s="373">
        <f>+'[16]Resumen Modelo'!P18</f>
        <v>121.6</v>
      </c>
      <c r="AG28" s="373">
        <f>+'[16]Resumen Modelo'!Q18</f>
        <v>112.16</v>
      </c>
      <c r="AH28" s="373">
        <f>+'[16]Resumen Modelo'!R18</f>
        <v>103.78</v>
      </c>
      <c r="AI28" s="373">
        <f>SUM(AI29:AI32)</f>
        <v>122.86</v>
      </c>
      <c r="AJ28" s="337" t="str">
        <f>IFERROR(VLOOKUP($V24,#REF!,4,FALSE)," ")</f>
        <v xml:space="preserve"> </v>
      </c>
      <c r="AK28" s="337" t="str">
        <f>IFERROR(VLOOKUP($V24,#REF!,5,FALSE)," ")</f>
        <v xml:space="preserve"> </v>
      </c>
    </row>
    <row r="29" spans="1:37" ht="15" customHeight="1" x14ac:dyDescent="0.25">
      <c r="A29" s="80" t="s">
        <v>46</v>
      </c>
      <c r="B29" s="80"/>
      <c r="C29" s="81">
        <v>6014</v>
      </c>
      <c r="D29" s="82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5"/>
      <c r="R29" s="96" t="str">
        <f>IFERROR(VLOOKUP($C29,[15]Nod!$A$3:$E$992,4,FALSE)," ")</f>
        <v>PRO230</v>
      </c>
      <c r="S29" s="96">
        <f>IFERROR(VLOOKUP($C29,[15]Nod!$A$3:$E$992,5,FALSE)," ")</f>
        <v>1</v>
      </c>
      <c r="T29" s="364" t="s">
        <v>31</v>
      </c>
      <c r="U29" s="338"/>
      <c r="V29" s="81"/>
      <c r="W29" s="363">
        <f>+'[16]Resumen Modelo'!G19</f>
        <v>0</v>
      </c>
      <c r="X29" s="363">
        <f>+'[16]Resumen Modelo'!H19</f>
        <v>0</v>
      </c>
      <c r="Y29" s="363">
        <f>+'[16]Resumen Modelo'!I19</f>
        <v>0</v>
      </c>
      <c r="Z29" s="363">
        <f>+'[16]Resumen Modelo'!J19</f>
        <v>0</v>
      </c>
      <c r="AA29" s="363">
        <f>+'[16]Resumen Modelo'!K19</f>
        <v>0</v>
      </c>
      <c r="AB29" s="363">
        <f>+'[16]Resumen Modelo'!L19</f>
        <v>0</v>
      </c>
      <c r="AC29" s="363">
        <f>+'[16]Resumen Modelo'!M19</f>
        <v>0</v>
      </c>
      <c r="AD29" s="363">
        <f>+'[16]Resumen Modelo'!N19</f>
        <v>0</v>
      </c>
      <c r="AE29" s="363">
        <f>+'[16]Resumen Modelo'!O19</f>
        <v>0</v>
      </c>
      <c r="AF29" s="363">
        <f>+'[16]Resumen Modelo'!P19</f>
        <v>0</v>
      </c>
      <c r="AG29" s="363">
        <f>+'[16]Resumen Modelo'!Q19</f>
        <v>0</v>
      </c>
      <c r="AH29" s="363">
        <f>+'[16]Resumen Modelo'!R19</f>
        <v>0</v>
      </c>
      <c r="AI29" s="363"/>
      <c r="AJ29" s="337" t="str">
        <f>IFERROR(VLOOKUP($V25,#REF!,4,FALSE)," ")</f>
        <v xml:space="preserve"> </v>
      </c>
      <c r="AK29" s="337" t="str">
        <f>IFERROR(VLOOKUP($V25,#REF!,5,FALSE)," ")</f>
        <v xml:space="preserve"> </v>
      </c>
    </row>
    <row r="30" spans="1:37" ht="15" customHeight="1" x14ac:dyDescent="0.25">
      <c r="A30" s="80" t="s">
        <v>47</v>
      </c>
      <c r="B30" s="80"/>
      <c r="C30" s="81">
        <v>6014</v>
      </c>
      <c r="D30" s="82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96" t="str">
        <f>IFERROR(VLOOKUP($C30,[15]Nod!$A$3:$E$992,4,FALSE)," ")</f>
        <v>PRO230</v>
      </c>
      <c r="S30" s="96">
        <f>IFERROR(VLOOKUP($C30,[15]Nod!$A$3:$E$992,5,FALSE)," ")</f>
        <v>1</v>
      </c>
      <c r="T30" s="365" t="s">
        <v>48</v>
      </c>
      <c r="U30" s="338"/>
      <c r="V30" s="81">
        <v>6013</v>
      </c>
      <c r="W30" s="363">
        <f>+'[16]Resumen Modelo'!G20</f>
        <v>0</v>
      </c>
      <c r="X30" s="363">
        <f>+'[16]Resumen Modelo'!H20</f>
        <v>0</v>
      </c>
      <c r="Y30" s="363">
        <f>+'[16]Resumen Modelo'!I20</f>
        <v>0</v>
      </c>
      <c r="Z30" s="363">
        <f>+'[16]Resumen Modelo'!J20</f>
        <v>0</v>
      </c>
      <c r="AA30" s="363">
        <f>+'[16]Resumen Modelo'!K20</f>
        <v>0</v>
      </c>
      <c r="AB30" s="363">
        <f>+'[16]Resumen Modelo'!L20</f>
        <v>0</v>
      </c>
      <c r="AC30" s="363">
        <f>+'[16]Resumen Modelo'!M20</f>
        <v>0</v>
      </c>
      <c r="AD30" s="363">
        <f>+'[16]Resumen Modelo'!N20</f>
        <v>0</v>
      </c>
      <c r="AE30" s="363">
        <f>+'[16]Resumen Modelo'!O20</f>
        <v>0</v>
      </c>
      <c r="AF30" s="363">
        <f>+'[16]Resumen Modelo'!P20</f>
        <v>0</v>
      </c>
      <c r="AG30" s="363">
        <f>+'[16]Resumen Modelo'!Q20</f>
        <v>0</v>
      </c>
      <c r="AH30" s="363">
        <f>+'[16]Resumen Modelo'!R20</f>
        <v>0</v>
      </c>
      <c r="AI30" s="363">
        <f>+MAX(W30:AH30)</f>
        <v>0</v>
      </c>
      <c r="AJ30" s="337" t="str">
        <f>IFERROR(VLOOKUP($V26,#REF!,4,FALSE)," ")</f>
        <v xml:space="preserve"> </v>
      </c>
      <c r="AK30" s="337" t="str">
        <f>IFERROR(VLOOKUP($V26,#REF!,5,FALSE)," ")</f>
        <v xml:space="preserve"> </v>
      </c>
    </row>
    <row r="31" spans="1:37" ht="15" customHeight="1" x14ac:dyDescent="0.25">
      <c r="A31" s="80" t="s">
        <v>49</v>
      </c>
      <c r="B31" s="80"/>
      <c r="C31" s="81">
        <v>6014</v>
      </c>
      <c r="D31" s="82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96" t="str">
        <f>IFERROR(VLOOKUP($C31,[15]Nod!$A$3:$E$992,4,FALSE)," ")</f>
        <v>PRO230</v>
      </c>
      <c r="S31" s="96">
        <f>IFERROR(VLOOKUP($C31,[15]Nod!$A$3:$E$992,5,FALSE)," ")</f>
        <v>1</v>
      </c>
      <c r="T31" s="365" t="s">
        <v>50</v>
      </c>
      <c r="U31" s="338"/>
      <c r="V31" s="81">
        <v>6013</v>
      </c>
      <c r="W31" s="363">
        <f>+'[16]Resumen Modelo'!G21</f>
        <v>106.53</v>
      </c>
      <c r="X31" s="363">
        <f>+'[16]Resumen Modelo'!H21</f>
        <v>115.74</v>
      </c>
      <c r="Y31" s="363">
        <f>+'[16]Resumen Modelo'!I21</f>
        <v>111.65</v>
      </c>
      <c r="Z31" s="363">
        <f>+'[16]Resumen Modelo'!J21</f>
        <v>114.88</v>
      </c>
      <c r="AA31" s="363">
        <f>+'[16]Resumen Modelo'!K21</f>
        <v>112.52</v>
      </c>
      <c r="AB31" s="363">
        <f>+'[16]Resumen Modelo'!L21</f>
        <v>107.92</v>
      </c>
      <c r="AC31" s="363">
        <f>+'[16]Resumen Modelo'!M21</f>
        <v>101.83</v>
      </c>
      <c r="AD31" s="363">
        <f>+'[16]Resumen Modelo'!N21</f>
        <v>103.17</v>
      </c>
      <c r="AE31" s="363">
        <f>+'[16]Resumen Modelo'!O21</f>
        <v>122.86</v>
      </c>
      <c r="AF31" s="363">
        <f>+'[16]Resumen Modelo'!P21</f>
        <v>121.6</v>
      </c>
      <c r="AG31" s="363">
        <f>+'[16]Resumen Modelo'!Q21</f>
        <v>112.16</v>
      </c>
      <c r="AH31" s="363">
        <f>+'[16]Resumen Modelo'!R21</f>
        <v>103.78</v>
      </c>
      <c r="AI31" s="363">
        <f>+MAX(W31:AH31)</f>
        <v>122.86</v>
      </c>
      <c r="AJ31" s="337" t="str">
        <f>IFERROR(VLOOKUP($V27,#REF!,4,FALSE)," ")</f>
        <v xml:space="preserve"> </v>
      </c>
      <c r="AK31" s="337" t="str">
        <f>IFERROR(VLOOKUP($V27,#REF!,5,FALSE)," ")</f>
        <v xml:space="preserve"> </v>
      </c>
    </row>
    <row r="32" spans="1:37" ht="15" customHeight="1" x14ac:dyDescent="0.25">
      <c r="A32" s="80" t="s">
        <v>51</v>
      </c>
      <c r="B32" s="80"/>
      <c r="C32" s="81">
        <v>6014</v>
      </c>
      <c r="D32" s="82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96" t="str">
        <f>IFERROR(VLOOKUP($C32,[15]Nod!$A$3:$E$992,4,FALSE)," ")</f>
        <v>PRO230</v>
      </c>
      <c r="S32" s="96">
        <f>IFERROR(VLOOKUP($C32,[15]Nod!$A$3:$E$992,5,FALSE)," ")</f>
        <v>1</v>
      </c>
      <c r="T32" s="366" t="s">
        <v>37</v>
      </c>
      <c r="U32" s="367"/>
      <c r="V32" s="368"/>
      <c r="W32" s="363">
        <f>+'[16]Resumen Modelo'!G22</f>
        <v>0</v>
      </c>
      <c r="X32" s="363">
        <f>+'[16]Resumen Modelo'!H22</f>
        <v>0</v>
      </c>
      <c r="Y32" s="363">
        <f>+'[16]Resumen Modelo'!I22</f>
        <v>0</v>
      </c>
      <c r="Z32" s="363">
        <f>+'[16]Resumen Modelo'!J22</f>
        <v>0</v>
      </c>
      <c r="AA32" s="363">
        <f>+'[16]Resumen Modelo'!K22</f>
        <v>0</v>
      </c>
      <c r="AB32" s="363">
        <f>+'[16]Resumen Modelo'!L22</f>
        <v>0</v>
      </c>
      <c r="AC32" s="363">
        <f>+'[16]Resumen Modelo'!M22</f>
        <v>0</v>
      </c>
      <c r="AD32" s="363">
        <f>+'[16]Resumen Modelo'!N22</f>
        <v>0</v>
      </c>
      <c r="AE32" s="363">
        <f>+'[16]Resumen Modelo'!O22</f>
        <v>0</v>
      </c>
      <c r="AF32" s="363">
        <f>+'[16]Resumen Modelo'!P22</f>
        <v>0</v>
      </c>
      <c r="AG32" s="363">
        <f>+'[16]Resumen Modelo'!Q22</f>
        <v>0</v>
      </c>
      <c r="AH32" s="363">
        <f>+'[16]Resumen Modelo'!R22</f>
        <v>0</v>
      </c>
      <c r="AI32" s="369"/>
      <c r="AJ32" s="337" t="str">
        <f>IFERROR(VLOOKUP($V28,#REF!,4,FALSE)," ")</f>
        <v xml:space="preserve"> </v>
      </c>
      <c r="AK32" s="337" t="str">
        <f>IFERROR(VLOOKUP($V28,#REF!,5,FALSE)," ")</f>
        <v xml:space="preserve"> </v>
      </c>
    </row>
    <row r="33" spans="1:37" ht="15" customHeight="1" x14ac:dyDescent="0.25">
      <c r="A33" s="80" t="s">
        <v>52</v>
      </c>
      <c r="B33" s="80"/>
      <c r="C33" s="81">
        <v>6014</v>
      </c>
      <c r="D33" s="82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96" t="str">
        <f>IFERROR(VLOOKUP($C33,[15]Nod!$A$3:$E$992,4,FALSE)," ")</f>
        <v>PRO230</v>
      </c>
      <c r="S33" s="96">
        <f>IFERROR(VLOOKUP($C33,[15]Nod!$A$3:$E$992,5,FALSE)," ")</f>
        <v>1</v>
      </c>
      <c r="T33" s="379">
        <v>5</v>
      </c>
      <c r="U33" s="357"/>
      <c r="V33" s="358"/>
      <c r="W33" s="375">
        <f>SUM(W34:W42)</f>
        <v>443.29999999999995</v>
      </c>
      <c r="X33" s="375">
        <f>+'[16]Resumen Modelo'!H23</f>
        <v>417.63</v>
      </c>
      <c r="Y33" s="375">
        <f>+'[16]Resumen Modelo'!I23</f>
        <v>368.07</v>
      </c>
      <c r="Z33" s="375">
        <f>+'[16]Resumen Modelo'!J23</f>
        <v>313.58000000000004</v>
      </c>
      <c r="AA33" s="375">
        <f>+'[16]Resumen Modelo'!K23</f>
        <v>431.88</v>
      </c>
      <c r="AB33" s="375">
        <f>+'[16]Resumen Modelo'!L23</f>
        <v>562.75</v>
      </c>
      <c r="AC33" s="375">
        <f>+'[16]Resumen Modelo'!M23</f>
        <v>444.62</v>
      </c>
      <c r="AD33" s="375">
        <f>+'[16]Resumen Modelo'!N23</f>
        <v>445.64</v>
      </c>
      <c r="AE33" s="375">
        <f>+'[16]Resumen Modelo'!O23</f>
        <v>506.90999999999997</v>
      </c>
      <c r="AF33" s="375">
        <f>+'[16]Resumen Modelo'!P23</f>
        <v>466.95</v>
      </c>
      <c r="AG33" s="375">
        <f>+'[16]Resumen Modelo'!Q23</f>
        <v>360.34</v>
      </c>
      <c r="AH33" s="375">
        <f>+'[16]Resumen Modelo'!R23</f>
        <v>383.80999999999995</v>
      </c>
      <c r="AI33" s="375">
        <f>SUM(AI34:AI42)</f>
        <v>566.55999999999995</v>
      </c>
      <c r="AJ33" s="337" t="str">
        <f>IFERROR(VLOOKUP($V29,#REF!,4,FALSE)," ")</f>
        <v xml:space="preserve"> </v>
      </c>
      <c r="AK33" s="337" t="str">
        <f>IFERROR(VLOOKUP($V29,#REF!,5,FALSE)," ")</f>
        <v xml:space="preserve"> </v>
      </c>
    </row>
    <row r="34" spans="1:37" ht="15" customHeight="1" x14ac:dyDescent="0.25">
      <c r="A34" s="80" t="s">
        <v>53</v>
      </c>
      <c r="B34" s="80"/>
      <c r="C34" s="81">
        <v>6014</v>
      </c>
      <c r="D34" s="82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96" t="str">
        <f>IFERROR(VLOOKUP($C34,[15]Nod!$A$3:$E$992,4,FALSE)," ")</f>
        <v>PRO230</v>
      </c>
      <c r="S34" s="96">
        <f>IFERROR(VLOOKUP($C34,[15]Nod!$A$3:$E$992,5,FALSE)," ")</f>
        <v>1</v>
      </c>
      <c r="T34" s="364" t="s">
        <v>54</v>
      </c>
      <c r="U34" s="338"/>
      <c r="V34" s="81"/>
      <c r="W34" s="363">
        <f>+'[16]Resumen Modelo'!G24</f>
        <v>0</v>
      </c>
      <c r="X34" s="363">
        <f>+'[16]Resumen Modelo'!H24</f>
        <v>0</v>
      </c>
      <c r="Y34" s="363">
        <f>+'[16]Resumen Modelo'!I24</f>
        <v>0</v>
      </c>
      <c r="Z34" s="363">
        <f>+'[16]Resumen Modelo'!J24</f>
        <v>0</v>
      </c>
      <c r="AA34" s="363">
        <f>+'[16]Resumen Modelo'!K24</f>
        <v>0</v>
      </c>
      <c r="AB34" s="363">
        <f>+'[16]Resumen Modelo'!L24</f>
        <v>0</v>
      </c>
      <c r="AC34" s="363">
        <f>+'[16]Resumen Modelo'!M24</f>
        <v>0</v>
      </c>
      <c r="AD34" s="363">
        <f>+'[16]Resumen Modelo'!N24</f>
        <v>0</v>
      </c>
      <c r="AE34" s="363">
        <f>+'[16]Resumen Modelo'!O24</f>
        <v>0</v>
      </c>
      <c r="AF34" s="363">
        <f>+'[16]Resumen Modelo'!P24</f>
        <v>0</v>
      </c>
      <c r="AG34" s="363">
        <f>+'[16]Resumen Modelo'!Q24</f>
        <v>0</v>
      </c>
      <c r="AH34" s="363">
        <f>+'[16]Resumen Modelo'!R24</f>
        <v>0</v>
      </c>
      <c r="AI34" s="380"/>
      <c r="AJ34" s="337" t="str">
        <f>IFERROR(VLOOKUP(#REF!,#REF!,4,FALSE)," ")</f>
        <v xml:space="preserve"> </v>
      </c>
      <c r="AK34" s="337" t="str">
        <f>IFERROR(VLOOKUP(#REF!,#REF!,5,FALSE)," ")</f>
        <v xml:space="preserve"> </v>
      </c>
    </row>
    <row r="35" spans="1:37" ht="15" customHeight="1" x14ac:dyDescent="0.25">
      <c r="A35" s="80" t="s">
        <v>55</v>
      </c>
      <c r="B35" s="80"/>
      <c r="C35" s="81">
        <v>6014</v>
      </c>
      <c r="D35" s="82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96" t="str">
        <f>IFERROR(VLOOKUP($C35,[15]Nod!$A$3:$E$992,4,FALSE)," ")</f>
        <v>PRO230</v>
      </c>
      <c r="S35" s="96">
        <f>IFERROR(VLOOKUP($C35,[15]Nod!$A$3:$E$992,5,FALSE)," ")</f>
        <v>1</v>
      </c>
      <c r="T35" s="381" t="s">
        <v>56</v>
      </c>
      <c r="U35" s="338"/>
      <c r="V35" s="81">
        <v>6009</v>
      </c>
      <c r="W35" s="363">
        <f>+'[16]Resumen Modelo'!G25</f>
        <v>254.52</v>
      </c>
      <c r="X35" s="363">
        <f>+'[16]Resumen Modelo'!H25</f>
        <v>251.24</v>
      </c>
      <c r="Y35" s="363">
        <f>+'[16]Resumen Modelo'!I25</f>
        <v>208.62</v>
      </c>
      <c r="Z35" s="363">
        <f>+'[16]Resumen Modelo'!J25</f>
        <v>238.6</v>
      </c>
      <c r="AA35" s="363">
        <f>+'[16]Resumen Modelo'!K25</f>
        <v>260.77</v>
      </c>
      <c r="AB35" s="363">
        <f>+'[16]Resumen Modelo'!L25</f>
        <v>289.83</v>
      </c>
      <c r="AC35" s="363">
        <f>+'[16]Resumen Modelo'!M25</f>
        <v>261.27999999999997</v>
      </c>
      <c r="AD35" s="363">
        <f>+'[16]Resumen Modelo'!N25</f>
        <v>269.32</v>
      </c>
      <c r="AE35" s="363">
        <f>+'[16]Resumen Modelo'!O25</f>
        <v>275.69</v>
      </c>
      <c r="AF35" s="363">
        <f>+'[16]Resumen Modelo'!P25</f>
        <v>293.06</v>
      </c>
      <c r="AG35" s="363">
        <f>+'[16]Resumen Modelo'!Q25</f>
        <v>267.05</v>
      </c>
      <c r="AH35" s="363">
        <f>+'[16]Resumen Modelo'!R25</f>
        <v>247.46</v>
      </c>
      <c r="AI35" s="380">
        <f>+MAX(W35:AH35)</f>
        <v>293.06</v>
      </c>
      <c r="AJ35" s="337"/>
      <c r="AK35" s="337"/>
    </row>
    <row r="36" spans="1:37" ht="15" customHeight="1" x14ac:dyDescent="0.25">
      <c r="A36" s="382" t="s">
        <v>37</v>
      </c>
      <c r="B36" s="338"/>
      <c r="C36" s="81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83"/>
      <c r="R36" s="96" t="str">
        <f>IFERROR(VLOOKUP($C36,[15]Nod!$A$3:$E$992,4,FALSE)," ")</f>
        <v xml:space="preserve"> </v>
      </c>
      <c r="S36" s="96" t="str">
        <f>IFERROR(VLOOKUP($C36,[15]Nod!$A$3:$E$992,5,FALSE)," ")</f>
        <v xml:space="preserve"> </v>
      </c>
      <c r="T36" s="364" t="s">
        <v>57</v>
      </c>
      <c r="U36" s="338"/>
      <c r="V36" s="81"/>
      <c r="W36" s="363"/>
      <c r="X36" s="363"/>
      <c r="Y36" s="363"/>
      <c r="Z36" s="363"/>
      <c r="AA36" s="363"/>
      <c r="AB36" s="363"/>
      <c r="AC36" s="363"/>
      <c r="AD36" s="363"/>
      <c r="AE36" s="363"/>
      <c r="AF36" s="363"/>
      <c r="AG36" s="363"/>
      <c r="AH36" s="363"/>
      <c r="AI36" s="380"/>
      <c r="AJ36" s="337" t="str">
        <f>IFERROR(VLOOKUP($V30,#REF!,4,FALSE)," ")</f>
        <v xml:space="preserve"> </v>
      </c>
      <c r="AK36" s="337" t="str">
        <f>IFERROR(VLOOKUP($V30,#REF!,5,FALSE)," ")</f>
        <v xml:space="preserve"> </v>
      </c>
    </row>
    <row r="37" spans="1:37" ht="15" customHeight="1" x14ac:dyDescent="0.25">
      <c r="A37" s="384">
        <v>2</v>
      </c>
      <c r="B37" s="371"/>
      <c r="C37" s="372"/>
      <c r="D37" s="373">
        <f t="shared" ref="D37:I37" si="7">SUM(D38:D43)</f>
        <v>537.79999999999995</v>
      </c>
      <c r="E37" s="373">
        <f t="shared" si="7"/>
        <v>537.79999999999995</v>
      </c>
      <c r="F37" s="373">
        <f t="shared" si="7"/>
        <v>537.79999999999995</v>
      </c>
      <c r="G37" s="373">
        <f t="shared" si="7"/>
        <v>537.79999999999995</v>
      </c>
      <c r="H37" s="373">
        <f t="shared" si="7"/>
        <v>537.79999999999995</v>
      </c>
      <c r="I37" s="373">
        <f t="shared" si="7"/>
        <v>537.79999999999995</v>
      </c>
      <c r="J37" s="373">
        <f t="shared" ref="J37:P37" si="8">SUM(J38:J42)</f>
        <v>537.79999999999995</v>
      </c>
      <c r="K37" s="373">
        <f t="shared" si="8"/>
        <v>537.79999999999995</v>
      </c>
      <c r="L37" s="373">
        <f t="shared" si="8"/>
        <v>537.79999999999995</v>
      </c>
      <c r="M37" s="373">
        <f t="shared" si="8"/>
        <v>537.79999999999995</v>
      </c>
      <c r="N37" s="373">
        <f t="shared" si="8"/>
        <v>537.79999999999995</v>
      </c>
      <c r="O37" s="373">
        <f t="shared" si="8"/>
        <v>537.79999999999995</v>
      </c>
      <c r="P37" s="373">
        <f t="shared" si="8"/>
        <v>537.79999999999995</v>
      </c>
      <c r="Q37" s="385"/>
      <c r="R37" s="96" t="str">
        <f>IFERROR(VLOOKUP($C37,[15]Nod!$A$3:$E$992,4,FALSE)," ")</f>
        <v xml:space="preserve"> </v>
      </c>
      <c r="S37" s="96" t="str">
        <f>IFERROR(VLOOKUP($C37,[15]Nod!$A$3:$E$992,5,FALSE)," ")</f>
        <v xml:space="preserve"> </v>
      </c>
      <c r="T37" s="365" t="s">
        <v>59</v>
      </c>
      <c r="U37" s="338"/>
      <c r="V37" s="81">
        <v>6009</v>
      </c>
      <c r="W37" s="363">
        <f>+'[16]Resumen Modelo'!G27</f>
        <v>0.82000000000000006</v>
      </c>
      <c r="X37" s="363">
        <f>+'[16]Resumen Modelo'!H27</f>
        <v>0.8</v>
      </c>
      <c r="Y37" s="363">
        <f>+'[16]Resumen Modelo'!I27</f>
        <v>0.76</v>
      </c>
      <c r="Z37" s="363">
        <f>+'[16]Resumen Modelo'!J27</f>
        <v>0.74</v>
      </c>
      <c r="AA37" s="363">
        <f>+'[16]Resumen Modelo'!K27</f>
        <v>0.8</v>
      </c>
      <c r="AB37" s="363">
        <f>+'[16]Resumen Modelo'!L27</f>
        <v>0.83000000000000007</v>
      </c>
      <c r="AC37" s="363">
        <f>+'[16]Resumen Modelo'!M27</f>
        <v>0.79</v>
      </c>
      <c r="AD37" s="363">
        <f>+'[16]Resumen Modelo'!N27</f>
        <v>0.8</v>
      </c>
      <c r="AE37" s="363">
        <f>+'[16]Resumen Modelo'!O27</f>
        <v>0.81</v>
      </c>
      <c r="AF37" s="363">
        <f>+'[16]Resumen Modelo'!P27</f>
        <v>0.83000000000000007</v>
      </c>
      <c r="AG37" s="363">
        <f>+'[16]Resumen Modelo'!Q27</f>
        <v>0.76</v>
      </c>
      <c r="AH37" s="363">
        <f>+'[16]Resumen Modelo'!R27</f>
        <v>0.7</v>
      </c>
      <c r="AI37" s="380">
        <f>+MAX(W37:AH37)</f>
        <v>0.83000000000000007</v>
      </c>
      <c r="AJ37" s="337" t="str">
        <f>IFERROR(VLOOKUP($V31,#REF!,4,FALSE)," ")</f>
        <v xml:space="preserve"> </v>
      </c>
      <c r="AK37" s="337" t="str">
        <f>IFERROR(VLOOKUP($V31,#REF!,5,FALSE)," ")</f>
        <v xml:space="preserve"> </v>
      </c>
    </row>
    <row r="38" spans="1:37" ht="15" customHeight="1" x14ac:dyDescent="0.25">
      <c r="A38" s="80" t="s">
        <v>58</v>
      </c>
      <c r="B38" s="338"/>
      <c r="C38" s="81">
        <v>6096</v>
      </c>
      <c r="D38" s="82">
        <v>300</v>
      </c>
      <c r="E38" s="363">
        <v>300</v>
      </c>
      <c r="F38" s="363">
        <v>300</v>
      </c>
      <c r="G38" s="363">
        <v>300</v>
      </c>
      <c r="H38" s="363">
        <v>300</v>
      </c>
      <c r="I38" s="363">
        <v>300</v>
      </c>
      <c r="J38" s="363">
        <v>300</v>
      </c>
      <c r="K38" s="363">
        <v>300</v>
      </c>
      <c r="L38" s="363">
        <v>300</v>
      </c>
      <c r="M38" s="363">
        <v>300</v>
      </c>
      <c r="N38" s="363">
        <v>300</v>
      </c>
      <c r="O38" s="363">
        <v>300</v>
      </c>
      <c r="P38" s="363">
        <v>300</v>
      </c>
      <c r="Q38" s="83">
        <v>0</v>
      </c>
      <c r="R38" s="96" t="str">
        <f>IFERROR(VLOOKUP($C38,[15]Nod!$A$3:$E$992,4,FALSE)," ")</f>
        <v>FOR230</v>
      </c>
      <c r="S38" s="96">
        <f>IFERROR(VLOOKUP($C38,[15]Nod!$A$3:$E$992,5,FALSE)," ")</f>
        <v>2</v>
      </c>
      <c r="T38" s="365" t="s">
        <v>61</v>
      </c>
      <c r="U38" s="338"/>
      <c r="V38" s="81">
        <v>6009</v>
      </c>
      <c r="W38" s="363">
        <f>+'[16]Resumen Modelo'!G28</f>
        <v>0</v>
      </c>
      <c r="X38" s="363">
        <f>+'[16]Resumen Modelo'!H28</f>
        <v>0</v>
      </c>
      <c r="Y38" s="363">
        <f>+'[16]Resumen Modelo'!I28</f>
        <v>0</v>
      </c>
      <c r="Z38" s="363">
        <f>+'[16]Resumen Modelo'!J28</f>
        <v>0</v>
      </c>
      <c r="AA38" s="363">
        <f>+'[16]Resumen Modelo'!K28</f>
        <v>0</v>
      </c>
      <c r="AB38" s="363">
        <f>+'[16]Resumen Modelo'!L28</f>
        <v>0</v>
      </c>
      <c r="AC38" s="363">
        <f>+'[16]Resumen Modelo'!M28</f>
        <v>0</v>
      </c>
      <c r="AD38" s="363">
        <f>+'[16]Resumen Modelo'!N28</f>
        <v>0</v>
      </c>
      <c r="AE38" s="363">
        <f>+'[16]Resumen Modelo'!O28</f>
        <v>0</v>
      </c>
      <c r="AF38" s="363">
        <f>+'[16]Resumen Modelo'!P28</f>
        <v>0</v>
      </c>
      <c r="AG38" s="363">
        <f>+'[16]Resumen Modelo'!Q28</f>
        <v>0</v>
      </c>
      <c r="AH38" s="363">
        <f>+'[16]Resumen Modelo'!R28</f>
        <v>0</v>
      </c>
      <c r="AI38" s="380">
        <f>+MAX(W38:AH38)</f>
        <v>0</v>
      </c>
      <c r="AJ38" s="337" t="str">
        <f>IFERROR(VLOOKUP($V32,#REF!,4,FALSE)," ")</f>
        <v xml:space="preserve"> </v>
      </c>
      <c r="AK38" s="337" t="str">
        <f>IFERROR(VLOOKUP($V32,#REF!,5,FALSE)," ")</f>
        <v xml:space="preserve"> </v>
      </c>
    </row>
    <row r="39" spans="1:37" ht="15" customHeight="1" x14ac:dyDescent="0.25">
      <c r="A39" s="80" t="s">
        <v>60</v>
      </c>
      <c r="B39" s="338"/>
      <c r="C39" s="81">
        <v>6179</v>
      </c>
      <c r="D39" s="82">
        <v>120</v>
      </c>
      <c r="E39" s="363">
        <v>120</v>
      </c>
      <c r="F39" s="363">
        <v>120</v>
      </c>
      <c r="G39" s="363">
        <v>120</v>
      </c>
      <c r="H39" s="363">
        <v>120</v>
      </c>
      <c r="I39" s="363">
        <v>120</v>
      </c>
      <c r="J39" s="363">
        <v>120</v>
      </c>
      <c r="K39" s="363">
        <v>120</v>
      </c>
      <c r="L39" s="363">
        <v>120</v>
      </c>
      <c r="M39" s="363">
        <v>120</v>
      </c>
      <c r="N39" s="363">
        <v>120</v>
      </c>
      <c r="O39" s="363">
        <v>120</v>
      </c>
      <c r="P39" s="363">
        <v>120</v>
      </c>
      <c r="Q39" s="83">
        <v>0</v>
      </c>
      <c r="R39" s="96" t="str">
        <f>IFERROR(VLOOKUP($C39,[15]Nod!$A$3:$E$992,4,FALSE)," ")</f>
        <v>GUA230</v>
      </c>
      <c r="S39" s="96">
        <f>IFERROR(VLOOKUP($C39,[15]Nod!$A$3:$E$992,5,FALSE)," ")</f>
        <v>2</v>
      </c>
      <c r="T39" s="365" t="s">
        <v>63</v>
      </c>
      <c r="U39" s="338"/>
      <c r="V39" s="81">
        <v>6009</v>
      </c>
      <c r="W39" s="363">
        <f>+'[16]Resumen Modelo'!G29</f>
        <v>0.74</v>
      </c>
      <c r="X39" s="363">
        <f>+'[16]Resumen Modelo'!H29</f>
        <v>0.74</v>
      </c>
      <c r="Y39" s="363">
        <f>+'[16]Resumen Modelo'!I29</f>
        <v>0.69</v>
      </c>
      <c r="Z39" s="363">
        <f>+'[16]Resumen Modelo'!J29</f>
        <v>0.68</v>
      </c>
      <c r="AA39" s="363">
        <f>+'[16]Resumen Modelo'!K29</f>
        <v>0.66</v>
      </c>
      <c r="AB39" s="363">
        <f>+'[16]Resumen Modelo'!L29</f>
        <v>0.79</v>
      </c>
      <c r="AC39" s="363">
        <f>+'[16]Resumen Modelo'!M29</f>
        <v>0.78</v>
      </c>
      <c r="AD39" s="363">
        <f>+'[16]Resumen Modelo'!N29</f>
        <v>0.78</v>
      </c>
      <c r="AE39" s="363">
        <f>+'[16]Resumen Modelo'!O29</f>
        <v>0.77</v>
      </c>
      <c r="AF39" s="363">
        <f>+'[16]Resumen Modelo'!P29</f>
        <v>1.37</v>
      </c>
      <c r="AG39" s="363">
        <f>+'[16]Resumen Modelo'!Q29</f>
        <v>0.71</v>
      </c>
      <c r="AH39" s="363">
        <f>+'[16]Resumen Modelo'!R29</f>
        <v>0.76</v>
      </c>
      <c r="AI39" s="380">
        <f>+MAX(W39:AH39)</f>
        <v>1.37</v>
      </c>
      <c r="AJ39" s="337" t="str">
        <f>IFERROR(VLOOKUP($V33,#REF!,4,FALSE)," ")</f>
        <v xml:space="preserve"> </v>
      </c>
      <c r="AK39" s="337" t="str">
        <f>IFERROR(VLOOKUP($V33,#REF!,5,FALSE)," ")</f>
        <v xml:space="preserve"> </v>
      </c>
    </row>
    <row r="40" spans="1:37" ht="15" customHeight="1" x14ac:dyDescent="0.25">
      <c r="A40" s="80" t="s">
        <v>62</v>
      </c>
      <c r="B40" s="338"/>
      <c r="C40" s="81">
        <v>6179</v>
      </c>
      <c r="D40" s="82">
        <v>25.34</v>
      </c>
      <c r="E40" s="363">
        <v>25.34</v>
      </c>
      <c r="F40" s="363">
        <v>25.34</v>
      </c>
      <c r="G40" s="363">
        <v>25.34</v>
      </c>
      <c r="H40" s="363">
        <v>25.34</v>
      </c>
      <c r="I40" s="363">
        <v>25.34</v>
      </c>
      <c r="J40" s="363">
        <v>25.34</v>
      </c>
      <c r="K40" s="363">
        <v>25.34</v>
      </c>
      <c r="L40" s="363">
        <v>25.34</v>
      </c>
      <c r="M40" s="363">
        <v>25.34</v>
      </c>
      <c r="N40" s="363">
        <v>25.34</v>
      </c>
      <c r="O40" s="363">
        <v>25.34</v>
      </c>
      <c r="P40" s="363">
        <v>25.34</v>
      </c>
      <c r="Q40" s="83">
        <v>0</v>
      </c>
      <c r="R40" s="96" t="str">
        <f>IFERROR(VLOOKUP($C40,[15]Nod!$A$3:$E$992,4,FALSE)," ")</f>
        <v>GUA230</v>
      </c>
      <c r="S40" s="96">
        <f>IFERROR(VLOOKUP($C40,[15]Nod!$A$3:$E$992,5,FALSE)," ")</f>
        <v>2</v>
      </c>
      <c r="T40" s="386" t="s">
        <v>65</v>
      </c>
      <c r="U40" s="338"/>
      <c r="V40" s="81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80"/>
      <c r="AJ40" s="337" t="str">
        <f>IFERROR(VLOOKUP($V34,#REF!,4,FALSE)," ")</f>
        <v xml:space="preserve"> </v>
      </c>
      <c r="AK40" s="337" t="str">
        <f>IFERROR(VLOOKUP($V34,#REF!,5,FALSE)," ")</f>
        <v xml:space="preserve"> </v>
      </c>
    </row>
    <row r="41" spans="1:37" ht="15" customHeight="1" x14ac:dyDescent="0.25">
      <c r="A41" s="80" t="s">
        <v>64</v>
      </c>
      <c r="B41" s="338"/>
      <c r="C41" s="81">
        <v>6179</v>
      </c>
      <c r="D41" s="82">
        <v>33.799999999999997</v>
      </c>
      <c r="E41" s="363">
        <v>33.799999999999997</v>
      </c>
      <c r="F41" s="363">
        <v>33.799999999999997</v>
      </c>
      <c r="G41" s="363">
        <v>33.799999999999997</v>
      </c>
      <c r="H41" s="363">
        <v>33.799999999999997</v>
      </c>
      <c r="I41" s="363">
        <v>33.799999999999997</v>
      </c>
      <c r="J41" s="363">
        <v>33.799999999999997</v>
      </c>
      <c r="K41" s="363">
        <v>33.799999999999997</v>
      </c>
      <c r="L41" s="363">
        <v>33.799999999999997</v>
      </c>
      <c r="M41" s="363">
        <v>33.799999999999997</v>
      </c>
      <c r="N41" s="363">
        <v>33.799999999999997</v>
      </c>
      <c r="O41" s="363">
        <v>33.799999999999997</v>
      </c>
      <c r="P41" s="363">
        <v>33.799999999999997</v>
      </c>
      <c r="Q41" s="83">
        <v>0</v>
      </c>
      <c r="R41" s="96" t="str">
        <f>IFERROR(VLOOKUP($C41,[15]Nod!$A$3:$E$992,4,FALSE)," ")</f>
        <v>GUA230</v>
      </c>
      <c r="S41" s="96">
        <f>IFERROR(VLOOKUP($C41,[15]Nod!$A$3:$E$992,5,FALSE)," ")</f>
        <v>2</v>
      </c>
      <c r="T41" s="365" t="s">
        <v>67</v>
      </c>
      <c r="U41" s="338"/>
      <c r="V41" s="81">
        <v>6008</v>
      </c>
      <c r="W41" s="363">
        <f>+'[16]Resumen Modelo'!G31</f>
        <v>187.22</v>
      </c>
      <c r="X41" s="363">
        <f>+'[16]Resumen Modelo'!H31</f>
        <v>164.85</v>
      </c>
      <c r="Y41" s="363">
        <f>+'[16]Resumen Modelo'!I31</f>
        <v>158</v>
      </c>
      <c r="Z41" s="363">
        <f>+'[16]Resumen Modelo'!J31</f>
        <v>73.56</v>
      </c>
      <c r="AA41" s="363">
        <f>+'[16]Resumen Modelo'!K31</f>
        <v>169.65</v>
      </c>
      <c r="AB41" s="363">
        <f>+'[16]Resumen Modelo'!L31</f>
        <v>271.3</v>
      </c>
      <c r="AC41" s="363">
        <f>+'[16]Resumen Modelo'!M31</f>
        <v>181.77</v>
      </c>
      <c r="AD41" s="363">
        <f>+'[16]Resumen Modelo'!N31</f>
        <v>174.74</v>
      </c>
      <c r="AE41" s="363">
        <f>+'[16]Resumen Modelo'!O31</f>
        <v>229.64</v>
      </c>
      <c r="AF41" s="363">
        <f>+'[16]Resumen Modelo'!P31</f>
        <v>171.69</v>
      </c>
      <c r="AG41" s="363">
        <f>+'[16]Resumen Modelo'!Q31</f>
        <v>91.82</v>
      </c>
      <c r="AH41" s="363">
        <f>+'[16]Resumen Modelo'!R31</f>
        <v>134.88999999999999</v>
      </c>
      <c r="AI41" s="380">
        <f>+MAX(W41:AH41)</f>
        <v>271.3</v>
      </c>
      <c r="AJ41" s="337" t="str">
        <f>IFERROR(VLOOKUP($V35,#REF!,4,FALSE)," ")</f>
        <v xml:space="preserve"> </v>
      </c>
      <c r="AK41" s="337" t="str">
        <f>IFERROR(VLOOKUP($V35,#REF!,5,FALSE)," ")</f>
        <v xml:space="preserve"> </v>
      </c>
    </row>
    <row r="42" spans="1:37" ht="15" customHeight="1" x14ac:dyDescent="0.25">
      <c r="A42" s="80" t="s">
        <v>66</v>
      </c>
      <c r="B42" s="338"/>
      <c r="C42" s="81">
        <v>6179</v>
      </c>
      <c r="D42" s="82">
        <v>58.66</v>
      </c>
      <c r="E42" s="363">
        <v>58.66</v>
      </c>
      <c r="F42" s="363">
        <v>58.66</v>
      </c>
      <c r="G42" s="363">
        <v>58.66</v>
      </c>
      <c r="H42" s="363">
        <v>58.66</v>
      </c>
      <c r="I42" s="363">
        <v>58.66</v>
      </c>
      <c r="J42" s="363">
        <v>58.66</v>
      </c>
      <c r="K42" s="363">
        <v>58.66</v>
      </c>
      <c r="L42" s="363">
        <v>58.66</v>
      </c>
      <c r="M42" s="363">
        <v>58.66</v>
      </c>
      <c r="N42" s="363">
        <v>58.66</v>
      </c>
      <c r="O42" s="363">
        <v>58.66</v>
      </c>
      <c r="P42" s="363">
        <v>58.66</v>
      </c>
      <c r="Q42" s="83">
        <v>0</v>
      </c>
      <c r="R42" s="96" t="str">
        <f>IFERROR(VLOOKUP($C42,[15]Nod!$A$3:$E$992,4,FALSE)," ")</f>
        <v>GUA230</v>
      </c>
      <c r="S42" s="96">
        <f>IFERROR(VLOOKUP($C42,[15]Nod!$A$3:$E$992,5,FALSE)," ")</f>
        <v>2</v>
      </c>
      <c r="T42" s="377" t="s">
        <v>37</v>
      </c>
      <c r="U42" s="338"/>
      <c r="V42" s="81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87"/>
      <c r="AJ42" s="337" t="str">
        <f>IFERROR(VLOOKUP($V36,#REF!,4,FALSE)," ")</f>
        <v xml:space="preserve"> </v>
      </c>
      <c r="AK42" s="337" t="str">
        <f>IFERROR(VLOOKUP($V36,#REF!,5,FALSE)," ")</f>
        <v xml:space="preserve"> </v>
      </c>
    </row>
    <row r="43" spans="1:37" ht="15" customHeight="1" x14ac:dyDescent="0.25">
      <c r="A43" s="80" t="s">
        <v>68</v>
      </c>
      <c r="B43" s="338"/>
      <c r="C43" s="81">
        <v>6179</v>
      </c>
      <c r="D43" s="82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83"/>
      <c r="R43" s="96" t="str">
        <f>IFERROR(VLOOKUP($C43,[15]Nod!$A$3:$E$992,4,FALSE)," ")</f>
        <v>GUA230</v>
      </c>
      <c r="S43" s="96">
        <f>IFERROR(VLOOKUP($C43,[15]Nod!$A$3:$E$992,5,FALSE)," ")</f>
        <v>2</v>
      </c>
      <c r="T43" s="370">
        <v>6</v>
      </c>
      <c r="U43" s="371"/>
      <c r="V43" s="372"/>
      <c r="W43" s="375">
        <f>+'[16]Resumen Modelo'!G33</f>
        <v>169.91</v>
      </c>
      <c r="X43" s="375">
        <f>+'[16]Resumen Modelo'!H33</f>
        <v>171.82</v>
      </c>
      <c r="Y43" s="375">
        <f>+'[16]Resumen Modelo'!I33</f>
        <v>168.95999999999998</v>
      </c>
      <c r="Z43" s="375">
        <f>+'[16]Resumen Modelo'!J33</f>
        <v>164.78</v>
      </c>
      <c r="AA43" s="375">
        <f>+'[16]Resumen Modelo'!K33</f>
        <v>163.92999999999998</v>
      </c>
      <c r="AB43" s="375">
        <f>+'[16]Resumen Modelo'!L33</f>
        <v>172.06</v>
      </c>
      <c r="AC43" s="375">
        <f>+'[16]Resumen Modelo'!M33</f>
        <v>158.99</v>
      </c>
      <c r="AD43" s="375">
        <f>+'[16]Resumen Modelo'!N33</f>
        <v>166.59</v>
      </c>
      <c r="AE43" s="375">
        <f>+'[16]Resumen Modelo'!O33</f>
        <v>165.61</v>
      </c>
      <c r="AF43" s="375">
        <f>+'[16]Resumen Modelo'!P33</f>
        <v>174.70999999999998</v>
      </c>
      <c r="AG43" s="375">
        <f>+'[16]Resumen Modelo'!Q33</f>
        <v>183.22000000000003</v>
      </c>
      <c r="AH43" s="375">
        <f>+'[16]Resumen Modelo'!R33</f>
        <v>166.1</v>
      </c>
      <c r="AI43" s="375">
        <f>SUM(AI44:AI49)</f>
        <v>183.27</v>
      </c>
      <c r="AJ43" s="337" t="str">
        <f>IFERROR(VLOOKUP($V37,#REF!,4,FALSE)," ")</f>
        <v xml:space="preserve"> </v>
      </c>
      <c r="AK43" s="337" t="str">
        <f>IFERROR(VLOOKUP($V37,#REF!,5,FALSE)," ")</f>
        <v xml:space="preserve"> </v>
      </c>
    </row>
    <row r="44" spans="1:37" ht="15" customHeight="1" x14ac:dyDescent="0.25">
      <c r="A44" s="388" t="s">
        <v>37</v>
      </c>
      <c r="B44" s="367"/>
      <c r="C44" s="368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90"/>
      <c r="R44" s="96" t="str">
        <f>IFERROR(VLOOKUP($C44,[15]Nod!$A$3:$E$992,4,FALSE)," ")</f>
        <v xml:space="preserve"> </v>
      </c>
      <c r="S44" s="96" t="str">
        <f>IFERROR(VLOOKUP($C44,[15]Nod!$A$3:$E$992,5,FALSE)," ")</f>
        <v xml:space="preserve"> </v>
      </c>
      <c r="T44" s="364" t="s">
        <v>54</v>
      </c>
      <c r="U44" s="338"/>
      <c r="V44" s="81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80"/>
      <c r="AJ44" s="337" t="str">
        <f>IFERROR(VLOOKUP($V38,#REF!,4,FALSE)," ")</f>
        <v xml:space="preserve"> </v>
      </c>
      <c r="AK44" s="337" t="str">
        <f>IFERROR(VLOOKUP($V38,#REF!,5,FALSE)," ")</f>
        <v xml:space="preserve"> </v>
      </c>
    </row>
    <row r="45" spans="1:37" ht="15" customHeight="1" x14ac:dyDescent="0.25">
      <c r="A45" s="356">
        <v>3</v>
      </c>
      <c r="B45" s="357"/>
      <c r="C45" s="358"/>
      <c r="D45" s="359">
        <f t="shared" ref="D45:I45" si="9">SUM(D46:D51)</f>
        <v>155.26999999999998</v>
      </c>
      <c r="E45" s="359">
        <f t="shared" si="9"/>
        <v>155.26999999999998</v>
      </c>
      <c r="F45" s="359">
        <f t="shared" si="9"/>
        <v>155.26999999999998</v>
      </c>
      <c r="G45" s="359">
        <f t="shared" si="9"/>
        <v>155.26999999999998</v>
      </c>
      <c r="H45" s="359">
        <f t="shared" si="9"/>
        <v>155.26999999999998</v>
      </c>
      <c r="I45" s="359">
        <f t="shared" si="9"/>
        <v>155.26999999999998</v>
      </c>
      <c r="J45" s="359">
        <f t="shared" ref="J45:P45" si="10">SUM(J46:J51)</f>
        <v>155.26999999999998</v>
      </c>
      <c r="K45" s="359">
        <f t="shared" si="10"/>
        <v>155.26999999999998</v>
      </c>
      <c r="L45" s="359">
        <f t="shared" si="10"/>
        <v>155.26999999999998</v>
      </c>
      <c r="M45" s="359">
        <f t="shared" si="10"/>
        <v>155.26999999999998</v>
      </c>
      <c r="N45" s="359">
        <f t="shared" si="10"/>
        <v>155.26999999999998</v>
      </c>
      <c r="O45" s="359">
        <f t="shared" si="10"/>
        <v>155.26999999999998</v>
      </c>
      <c r="P45" s="359">
        <f t="shared" si="10"/>
        <v>155.26999999999998</v>
      </c>
      <c r="Q45" s="360"/>
      <c r="R45" s="96" t="str">
        <f>IFERROR(VLOOKUP($C45,[15]Nod!$A$3:$E$992,4,FALSE)," ")</f>
        <v xml:space="preserve"> </v>
      </c>
      <c r="S45" s="96" t="str">
        <f>IFERROR(VLOOKUP($C45,[15]Nod!$A$3:$E$992,5,FALSE)," ")</f>
        <v xml:space="preserve"> </v>
      </c>
      <c r="T45" s="365" t="s">
        <v>70</v>
      </c>
      <c r="U45" s="338"/>
      <c r="V45" s="81">
        <v>6005</v>
      </c>
      <c r="W45" s="363">
        <f>+'[16]Resumen Modelo'!G35</f>
        <v>167.57</v>
      </c>
      <c r="X45" s="363">
        <f>+'[16]Resumen Modelo'!H35</f>
        <v>169.48</v>
      </c>
      <c r="Y45" s="363">
        <f>+'[16]Resumen Modelo'!I35</f>
        <v>166.6</v>
      </c>
      <c r="Z45" s="363">
        <f>+'[16]Resumen Modelo'!J35</f>
        <v>162.41999999999999</v>
      </c>
      <c r="AA45" s="363">
        <f>+'[16]Resumen Modelo'!K35</f>
        <v>161.57</v>
      </c>
      <c r="AB45" s="363">
        <f>+'[16]Resumen Modelo'!L35</f>
        <v>169.74</v>
      </c>
      <c r="AC45" s="363">
        <f>+'[16]Resumen Modelo'!M35</f>
        <v>156.68</v>
      </c>
      <c r="AD45" s="363">
        <f>+'[16]Resumen Modelo'!N35</f>
        <v>164.28</v>
      </c>
      <c r="AE45" s="363">
        <f>+'[16]Resumen Modelo'!O35</f>
        <v>163.30000000000001</v>
      </c>
      <c r="AF45" s="363">
        <f>+'[16]Resumen Modelo'!P35</f>
        <v>172.39</v>
      </c>
      <c r="AG45" s="363">
        <f>+'[16]Resumen Modelo'!Q35</f>
        <v>180.9</v>
      </c>
      <c r="AH45" s="363">
        <f>+'[16]Resumen Modelo'!R35</f>
        <v>163.80000000000001</v>
      </c>
      <c r="AI45" s="380">
        <f>+MAX(W45:AH45)</f>
        <v>180.9</v>
      </c>
      <c r="AJ45" s="337" t="str">
        <f>IFERROR(VLOOKUP($V39,#REF!,4,FALSE)," ")</f>
        <v xml:space="preserve"> </v>
      </c>
      <c r="AK45" s="337" t="str">
        <f>IFERROR(VLOOKUP($V39,#REF!,5,FALSE)," ")</f>
        <v xml:space="preserve"> </v>
      </c>
    </row>
    <row r="46" spans="1:37" ht="15" customHeight="1" x14ac:dyDescent="0.25">
      <c r="A46" s="80" t="s">
        <v>69</v>
      </c>
      <c r="B46" s="338"/>
      <c r="C46" s="81">
        <v>6087</v>
      </c>
      <c r="D46" s="82">
        <v>47.2</v>
      </c>
      <c r="E46" s="363">
        <v>47.2</v>
      </c>
      <c r="F46" s="363">
        <v>47.2</v>
      </c>
      <c r="G46" s="363">
        <v>47.2</v>
      </c>
      <c r="H46" s="363">
        <v>47.2</v>
      </c>
      <c r="I46" s="363">
        <v>47.2</v>
      </c>
      <c r="J46" s="363">
        <v>47.2</v>
      </c>
      <c r="K46" s="363">
        <v>47.2</v>
      </c>
      <c r="L46" s="363">
        <v>47.2</v>
      </c>
      <c r="M46" s="363">
        <v>47.2</v>
      </c>
      <c r="N46" s="363">
        <v>47.2</v>
      </c>
      <c r="O46" s="363">
        <v>47.2</v>
      </c>
      <c r="P46" s="363">
        <v>47.2</v>
      </c>
      <c r="Q46" s="83">
        <v>0</v>
      </c>
      <c r="R46" s="96" t="str">
        <f>IFERROR(VLOOKUP($C46,[15]Nod!$A$3:$E$992,4,FALSE)," ")</f>
        <v>CAL115</v>
      </c>
      <c r="S46" s="96">
        <f>IFERROR(VLOOKUP($C46,[15]Nod!$A$3:$E$992,5,FALSE)," ")</f>
        <v>3</v>
      </c>
      <c r="T46" s="364" t="s">
        <v>57</v>
      </c>
      <c r="U46" s="338"/>
      <c r="V46" s="81"/>
      <c r="W46" s="363">
        <f>+'[16]Resumen Modelo'!G36</f>
        <v>0</v>
      </c>
      <c r="X46" s="363">
        <f>+'[16]Resumen Modelo'!H36</f>
        <v>0</v>
      </c>
      <c r="Y46" s="363">
        <f>+'[16]Resumen Modelo'!I36</f>
        <v>0</v>
      </c>
      <c r="Z46" s="363">
        <f>+'[16]Resumen Modelo'!J36</f>
        <v>0</v>
      </c>
      <c r="AA46" s="363">
        <f>+'[16]Resumen Modelo'!K36</f>
        <v>0</v>
      </c>
      <c r="AB46" s="363">
        <f>+'[16]Resumen Modelo'!L36</f>
        <v>0</v>
      </c>
      <c r="AC46" s="363">
        <f>+'[16]Resumen Modelo'!M36</f>
        <v>0</v>
      </c>
      <c r="AD46" s="363">
        <f>+'[16]Resumen Modelo'!N36</f>
        <v>0</v>
      </c>
      <c r="AE46" s="363">
        <f>+'[16]Resumen Modelo'!O36</f>
        <v>0</v>
      </c>
      <c r="AF46" s="363">
        <f>+'[16]Resumen Modelo'!P36</f>
        <v>0</v>
      </c>
      <c r="AG46" s="363">
        <f>+'[16]Resumen Modelo'!Q36</f>
        <v>0</v>
      </c>
      <c r="AH46" s="363">
        <f>+'[16]Resumen Modelo'!R36</f>
        <v>0</v>
      </c>
      <c r="AI46" s="380"/>
      <c r="AJ46" s="337"/>
      <c r="AK46" s="337"/>
    </row>
    <row r="47" spans="1:37" ht="15" customHeight="1" x14ac:dyDescent="0.25">
      <c r="A47" s="80" t="s">
        <v>71</v>
      </c>
      <c r="B47" s="338"/>
      <c r="C47" s="81">
        <v>6087</v>
      </c>
      <c r="D47" s="82">
        <v>54.76</v>
      </c>
      <c r="E47" s="363">
        <v>54.76</v>
      </c>
      <c r="F47" s="363">
        <v>54.76</v>
      </c>
      <c r="G47" s="363">
        <v>54.76</v>
      </c>
      <c r="H47" s="363">
        <v>54.76</v>
      </c>
      <c r="I47" s="363">
        <v>54.76</v>
      </c>
      <c r="J47" s="363">
        <v>54.76</v>
      </c>
      <c r="K47" s="363">
        <v>54.76</v>
      </c>
      <c r="L47" s="363">
        <v>54.76</v>
      </c>
      <c r="M47" s="363">
        <v>54.76</v>
      </c>
      <c r="N47" s="363">
        <v>54.76</v>
      </c>
      <c r="O47" s="363">
        <v>54.76</v>
      </c>
      <c r="P47" s="363">
        <v>54.76</v>
      </c>
      <c r="Q47" s="83">
        <v>0</v>
      </c>
      <c r="R47" s="96" t="str">
        <f>IFERROR(VLOOKUP($C47,[15]Nod!$A$3:$E$992,4,FALSE)," ")</f>
        <v>CAL115</v>
      </c>
      <c r="S47" s="96">
        <f>IFERROR(VLOOKUP($C47,[15]Nod!$A$3:$E$992,5,FALSE)," ")</f>
        <v>3</v>
      </c>
      <c r="T47" s="365" t="s">
        <v>59</v>
      </c>
      <c r="U47" s="338"/>
      <c r="V47" s="81">
        <v>6005</v>
      </c>
      <c r="W47" s="363">
        <f>+'[16]Resumen Modelo'!G37</f>
        <v>0.23</v>
      </c>
      <c r="X47" s="363">
        <f>+'[16]Resumen Modelo'!H37</f>
        <v>0.22</v>
      </c>
      <c r="Y47" s="363">
        <f>+'[16]Resumen Modelo'!I37</f>
        <v>0.23</v>
      </c>
      <c r="Z47" s="363">
        <f>+'[16]Resumen Modelo'!J37</f>
        <v>0.24</v>
      </c>
      <c r="AA47" s="363">
        <f>+'[16]Resumen Modelo'!K37</f>
        <v>0.23</v>
      </c>
      <c r="AB47" s="363">
        <f>+'[16]Resumen Modelo'!L37</f>
        <v>0.22</v>
      </c>
      <c r="AC47" s="363">
        <f>+'[16]Resumen Modelo'!M37</f>
        <v>0.21</v>
      </c>
      <c r="AD47" s="363">
        <f>+'[16]Resumen Modelo'!N37</f>
        <v>0.21</v>
      </c>
      <c r="AE47" s="363">
        <f>+'[16]Resumen Modelo'!O37</f>
        <v>0.22</v>
      </c>
      <c r="AF47" s="363">
        <f>+'[16]Resumen Modelo'!P37</f>
        <v>0.22</v>
      </c>
      <c r="AG47" s="363">
        <f>+'[16]Resumen Modelo'!Q37</f>
        <v>0.24</v>
      </c>
      <c r="AH47" s="363">
        <f>+'[16]Resumen Modelo'!R37</f>
        <v>0.23</v>
      </c>
      <c r="AI47" s="380">
        <f>+MAX(W47:AH47)</f>
        <v>0.24</v>
      </c>
      <c r="AJ47" s="337" t="str">
        <f>IFERROR(VLOOKUP($V41,#REF!,4,FALSE)," ")</f>
        <v xml:space="preserve"> </v>
      </c>
      <c r="AK47" s="337" t="str">
        <f>IFERROR(VLOOKUP($V41,#REF!,5,FALSE)," ")</f>
        <v xml:space="preserve"> </v>
      </c>
    </row>
    <row r="48" spans="1:37" ht="15" customHeight="1" x14ac:dyDescent="0.25">
      <c r="A48" s="80" t="s">
        <v>72</v>
      </c>
      <c r="B48" s="338"/>
      <c r="C48" s="81">
        <v>6087</v>
      </c>
      <c r="D48" s="82">
        <v>19.75</v>
      </c>
      <c r="E48" s="363">
        <v>19.75</v>
      </c>
      <c r="F48" s="363">
        <v>19.75</v>
      </c>
      <c r="G48" s="363">
        <v>19.75</v>
      </c>
      <c r="H48" s="363">
        <v>19.75</v>
      </c>
      <c r="I48" s="363">
        <v>19.75</v>
      </c>
      <c r="J48" s="363">
        <v>19.75</v>
      </c>
      <c r="K48" s="363">
        <v>19.75</v>
      </c>
      <c r="L48" s="363">
        <v>19.75</v>
      </c>
      <c r="M48" s="363">
        <v>19.75</v>
      </c>
      <c r="N48" s="363">
        <v>19.75</v>
      </c>
      <c r="O48" s="363">
        <v>19.75</v>
      </c>
      <c r="P48" s="363">
        <v>19.75</v>
      </c>
      <c r="Q48" s="83">
        <v>0</v>
      </c>
      <c r="R48" s="96" t="str">
        <f>IFERROR(VLOOKUP($C48,[15]Nod!$A$3:$E$992,4,FALSE)," ")</f>
        <v>CAL115</v>
      </c>
      <c r="S48" s="96">
        <f>IFERROR(VLOOKUP($C48,[15]Nod!$A$3:$E$992,5,FALSE)," ")</f>
        <v>3</v>
      </c>
      <c r="T48" s="365" t="s">
        <v>74</v>
      </c>
      <c r="U48" s="338"/>
      <c r="V48" s="81">
        <v>6005</v>
      </c>
      <c r="W48" s="363">
        <f>+'[16]Resumen Modelo'!G38</f>
        <v>2.11</v>
      </c>
      <c r="X48" s="363">
        <f>+'[16]Resumen Modelo'!H38</f>
        <v>2.12</v>
      </c>
      <c r="Y48" s="363">
        <f>+'[16]Resumen Modelo'!I38</f>
        <v>2.13</v>
      </c>
      <c r="Z48" s="363">
        <f>+'[16]Resumen Modelo'!J38</f>
        <v>2.12</v>
      </c>
      <c r="AA48" s="363">
        <f>+'[16]Resumen Modelo'!K38</f>
        <v>2.13</v>
      </c>
      <c r="AB48" s="363">
        <f>+'[16]Resumen Modelo'!L38</f>
        <v>2.1</v>
      </c>
      <c r="AC48" s="363">
        <f>+'[16]Resumen Modelo'!M38</f>
        <v>2.1</v>
      </c>
      <c r="AD48" s="363">
        <f>+'[16]Resumen Modelo'!N38</f>
        <v>2.1</v>
      </c>
      <c r="AE48" s="363">
        <f>+'[16]Resumen Modelo'!O38</f>
        <v>2.09</v>
      </c>
      <c r="AF48" s="363">
        <f>+'[16]Resumen Modelo'!P38</f>
        <v>2.1</v>
      </c>
      <c r="AG48" s="363">
        <f>+'[16]Resumen Modelo'!Q38</f>
        <v>2.08</v>
      </c>
      <c r="AH48" s="363">
        <f>+'[16]Resumen Modelo'!R38</f>
        <v>2.0699999999999998</v>
      </c>
      <c r="AI48" s="380">
        <f>+MAX(W48:AH48)</f>
        <v>2.13</v>
      </c>
      <c r="AJ48" s="337"/>
      <c r="AK48" s="337"/>
    </row>
    <row r="49" spans="1:37" ht="15" customHeight="1" x14ac:dyDescent="0.25">
      <c r="A49" s="80" t="s">
        <v>73</v>
      </c>
      <c r="B49" s="338"/>
      <c r="C49" s="81">
        <v>6087</v>
      </c>
      <c r="D49" s="82">
        <v>15.5</v>
      </c>
      <c r="E49" s="363">
        <v>15.5</v>
      </c>
      <c r="F49" s="363">
        <v>15.5</v>
      </c>
      <c r="G49" s="363">
        <v>15.5</v>
      </c>
      <c r="H49" s="363">
        <v>15.5</v>
      </c>
      <c r="I49" s="363">
        <v>15.5</v>
      </c>
      <c r="J49" s="363">
        <v>15.5</v>
      </c>
      <c r="K49" s="363">
        <v>15.5</v>
      </c>
      <c r="L49" s="363">
        <v>15.5</v>
      </c>
      <c r="M49" s="363">
        <v>15.5</v>
      </c>
      <c r="N49" s="363">
        <v>15.5</v>
      </c>
      <c r="O49" s="363">
        <v>15.5</v>
      </c>
      <c r="P49" s="363">
        <v>15.5</v>
      </c>
      <c r="Q49" s="83">
        <v>0</v>
      </c>
      <c r="R49" s="96" t="str">
        <f>IFERROR(VLOOKUP($C49,[15]Nod!$A$3:$E$992,4,FALSE)," ")</f>
        <v>CAL115</v>
      </c>
      <c r="S49" s="96">
        <f>IFERROR(VLOOKUP($C49,[15]Nod!$A$3:$E$992,5,FALSE)," ")</f>
        <v>3</v>
      </c>
      <c r="T49" s="366" t="s">
        <v>37</v>
      </c>
      <c r="U49" s="367"/>
      <c r="V49" s="368"/>
      <c r="W49" s="363"/>
      <c r="X49" s="363"/>
      <c r="Y49" s="363"/>
      <c r="Z49" s="363"/>
      <c r="AA49" s="363"/>
      <c r="AB49" s="363"/>
      <c r="AC49" s="363"/>
      <c r="AD49" s="363"/>
      <c r="AE49" s="363"/>
      <c r="AF49" s="363"/>
      <c r="AG49" s="363"/>
      <c r="AH49" s="363"/>
      <c r="AI49" s="387"/>
      <c r="AJ49" s="337" t="str">
        <f>IFERROR(VLOOKUP($V42,#REF!,4,FALSE)," ")</f>
        <v xml:space="preserve"> </v>
      </c>
      <c r="AK49" s="337" t="str">
        <f>IFERROR(VLOOKUP($V42,#REF!,5,FALSE)," ")</f>
        <v xml:space="preserve"> </v>
      </c>
    </row>
    <row r="50" spans="1:37" ht="15" customHeight="1" x14ac:dyDescent="0.25">
      <c r="A50" s="80" t="s">
        <v>75</v>
      </c>
      <c r="B50" s="338"/>
      <c r="C50" s="81">
        <v>6087</v>
      </c>
      <c r="D50" s="82">
        <v>8.1999999999999993</v>
      </c>
      <c r="E50" s="363">
        <v>8.1999999999999993</v>
      </c>
      <c r="F50" s="363">
        <v>8.1999999999999993</v>
      </c>
      <c r="G50" s="363">
        <v>8.1999999999999993</v>
      </c>
      <c r="H50" s="363">
        <v>8.1999999999999993</v>
      </c>
      <c r="I50" s="363">
        <v>8.1999999999999993</v>
      </c>
      <c r="J50" s="363">
        <v>8.1999999999999993</v>
      </c>
      <c r="K50" s="363">
        <v>8.1999999999999993</v>
      </c>
      <c r="L50" s="363">
        <v>8.1999999999999993</v>
      </c>
      <c r="M50" s="363">
        <v>8.1999999999999993</v>
      </c>
      <c r="N50" s="363">
        <v>8.1999999999999993</v>
      </c>
      <c r="O50" s="363">
        <v>8.1999999999999993</v>
      </c>
      <c r="P50" s="363">
        <v>8.1999999999999993</v>
      </c>
      <c r="Q50" s="83">
        <v>0</v>
      </c>
      <c r="R50" s="96" t="str">
        <f>IFERROR(VLOOKUP($C50,[15]Nod!$A$3:$E$992,4,FALSE)," ")</f>
        <v>CAL115</v>
      </c>
      <c r="S50" s="96">
        <f>IFERROR(VLOOKUP($C50,[15]Nod!$A$3:$E$992,5,FALSE)," ")</f>
        <v>3</v>
      </c>
      <c r="T50" s="379">
        <v>7</v>
      </c>
      <c r="U50" s="357"/>
      <c r="V50" s="358"/>
      <c r="W50" s="375">
        <f>SUM(W52:W67)</f>
        <v>885.24827699999992</v>
      </c>
      <c r="X50" s="375">
        <f>+'[16]Resumen Modelo'!H40</f>
        <v>959.91906199999983</v>
      </c>
      <c r="Y50" s="375">
        <f>+'[16]Resumen Modelo'!I40</f>
        <v>994.09</v>
      </c>
      <c r="Z50" s="375">
        <f>+'[16]Resumen Modelo'!J40</f>
        <v>959.99000000000012</v>
      </c>
      <c r="AA50" s="375">
        <f>+'[16]Resumen Modelo'!K40</f>
        <v>945.60316999999986</v>
      </c>
      <c r="AB50" s="375">
        <f>+'[16]Resumen Modelo'!L40</f>
        <v>983.06346300000007</v>
      </c>
      <c r="AC50" s="375">
        <f>+'[16]Resumen Modelo'!M40</f>
        <v>936.54365600000006</v>
      </c>
      <c r="AD50" s="375">
        <f>+'[16]Resumen Modelo'!N40</f>
        <v>988.36840299999994</v>
      </c>
      <c r="AE50" s="375">
        <f>+'[16]Resumen Modelo'!O40</f>
        <v>990.61628500000006</v>
      </c>
      <c r="AF50" s="375">
        <f>+'[16]Resumen Modelo'!P40</f>
        <v>1014.5791169999999</v>
      </c>
      <c r="AG50" s="375">
        <f>+'[16]Resumen Modelo'!Q40</f>
        <v>1006.6427959999999</v>
      </c>
      <c r="AH50" s="375">
        <f>+'[16]Resumen Modelo'!R40</f>
        <v>971.30811699999992</v>
      </c>
      <c r="AI50" s="375">
        <f>SUM(AI52:AI67)</f>
        <v>1126.7800000000002</v>
      </c>
      <c r="AJ50" s="337" t="str">
        <f>IFERROR(VLOOKUP($V43,#REF!,4,FALSE)," ")</f>
        <v xml:space="preserve"> </v>
      </c>
      <c r="AK50" s="337" t="str">
        <f>IFERROR(VLOOKUP($V43,#REF!,5,FALSE)," ")</f>
        <v xml:space="preserve"> </v>
      </c>
    </row>
    <row r="51" spans="1:37" ht="15" customHeight="1" x14ac:dyDescent="0.25">
      <c r="A51" s="80" t="s">
        <v>294</v>
      </c>
      <c r="B51" s="338"/>
      <c r="C51" s="81">
        <v>6087</v>
      </c>
      <c r="D51" s="82">
        <v>9.86</v>
      </c>
      <c r="E51" s="363">
        <v>9.86</v>
      </c>
      <c r="F51" s="363">
        <v>9.86</v>
      </c>
      <c r="G51" s="363">
        <v>9.86</v>
      </c>
      <c r="H51" s="363">
        <v>9.86</v>
      </c>
      <c r="I51" s="363">
        <v>9.86</v>
      </c>
      <c r="J51" s="363">
        <v>9.86</v>
      </c>
      <c r="K51" s="363">
        <v>9.86</v>
      </c>
      <c r="L51" s="363">
        <v>9.86</v>
      </c>
      <c r="M51" s="363">
        <v>9.86</v>
      </c>
      <c r="N51" s="363">
        <v>9.86</v>
      </c>
      <c r="O51" s="363">
        <v>9.86</v>
      </c>
      <c r="P51" s="363">
        <v>9.86</v>
      </c>
      <c r="Q51" s="83">
        <v>0</v>
      </c>
      <c r="R51" s="96" t="str">
        <f>IFERROR(VLOOKUP($C51,[15]Nod!$A$3:$E$992,4,FALSE)," ")</f>
        <v>CAL115</v>
      </c>
      <c r="S51" s="96">
        <f>IFERROR(VLOOKUP($C51,[15]Nod!$A$3:$E$992,5,FALSE)," ")</f>
        <v>3</v>
      </c>
      <c r="T51" s="364" t="s">
        <v>77</v>
      </c>
      <c r="U51" s="338"/>
      <c r="V51" s="81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80"/>
      <c r="AJ51" s="337" t="str">
        <f>IFERROR(VLOOKUP($V44,#REF!,4,FALSE)," ")</f>
        <v xml:space="preserve"> </v>
      </c>
      <c r="AK51" s="337" t="str">
        <f>IFERROR(VLOOKUP($V44,#REF!,5,FALSE)," ")</f>
        <v xml:space="preserve"> </v>
      </c>
    </row>
    <row r="52" spans="1:37" ht="15" customHeight="1" x14ac:dyDescent="0.25">
      <c r="A52" s="382" t="s">
        <v>37</v>
      </c>
      <c r="B52" s="338"/>
      <c r="C52" s="81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83"/>
      <c r="R52" s="96" t="str">
        <f>IFERROR(VLOOKUP($C52,[15]Nod!$A$3:$E$992,4,FALSE)," ")</f>
        <v xml:space="preserve"> </v>
      </c>
      <c r="S52" s="96" t="str">
        <f>IFERROR(VLOOKUP($C52,[15]Nod!$A$3:$E$992,5,FALSE)," ")</f>
        <v xml:space="preserve"> </v>
      </c>
      <c r="T52" s="365" t="s">
        <v>78</v>
      </c>
      <c r="U52" s="338"/>
      <c r="V52" s="81">
        <v>6002</v>
      </c>
      <c r="W52" s="363">
        <f>+'[16]Resumen Modelo'!G42</f>
        <v>156.68</v>
      </c>
      <c r="X52" s="363">
        <f>+'[16]Resumen Modelo'!H42</f>
        <v>197.59</v>
      </c>
      <c r="Y52" s="363">
        <f>+'[16]Resumen Modelo'!I42</f>
        <v>220.1</v>
      </c>
      <c r="Z52" s="363">
        <f>+'[16]Resumen Modelo'!J42</f>
        <v>214.22</v>
      </c>
      <c r="AA52" s="363">
        <f>+'[16]Resumen Modelo'!K42</f>
        <v>201.61</v>
      </c>
      <c r="AB52" s="363">
        <f>+'[16]Resumen Modelo'!L42</f>
        <v>206.85</v>
      </c>
      <c r="AC52" s="363">
        <f>+'[16]Resumen Modelo'!M42</f>
        <v>196.97</v>
      </c>
      <c r="AD52" s="363">
        <f>+'[16]Resumen Modelo'!N42</f>
        <v>234.46</v>
      </c>
      <c r="AE52" s="363">
        <f>+'[16]Resumen Modelo'!O42</f>
        <v>201.8</v>
      </c>
      <c r="AF52" s="363">
        <f>+'[16]Resumen Modelo'!P42</f>
        <v>204.83</v>
      </c>
      <c r="AG52" s="363">
        <f>+'[16]Resumen Modelo'!Q42</f>
        <v>206.8</v>
      </c>
      <c r="AH52" s="363">
        <f>+'[16]Resumen Modelo'!R42</f>
        <v>192.96</v>
      </c>
      <c r="AI52" s="380">
        <f>+MAX(W52:AH52)</f>
        <v>234.46</v>
      </c>
      <c r="AJ52" s="391"/>
      <c r="AK52" s="391"/>
    </row>
    <row r="53" spans="1:37" ht="15" customHeight="1" x14ac:dyDescent="0.25">
      <c r="A53" s="378">
        <v>4</v>
      </c>
      <c r="B53" s="371"/>
      <c r="C53" s="372"/>
      <c r="D53" s="373">
        <f t="shared" ref="D53:I53" si="11">SUM(D54:D87)</f>
        <v>343.2</v>
      </c>
      <c r="E53" s="373">
        <f t="shared" si="11"/>
        <v>334.7</v>
      </c>
      <c r="F53" s="373">
        <f t="shared" si="11"/>
        <v>334.7</v>
      </c>
      <c r="G53" s="373">
        <f t="shared" si="11"/>
        <v>334.7</v>
      </c>
      <c r="H53" s="373">
        <f t="shared" si="11"/>
        <v>334.7</v>
      </c>
      <c r="I53" s="373">
        <f t="shared" si="11"/>
        <v>334.7</v>
      </c>
      <c r="J53" s="373">
        <f t="shared" ref="J53:P53" si="12">SUM(J54:J78)</f>
        <v>334.7</v>
      </c>
      <c r="K53" s="373">
        <f t="shared" si="12"/>
        <v>356.65379300000001</v>
      </c>
      <c r="L53" s="373">
        <f t="shared" si="12"/>
        <v>356.138711</v>
      </c>
      <c r="M53" s="373">
        <f t="shared" si="12"/>
        <v>351.56971099999998</v>
      </c>
      <c r="N53" s="373">
        <f t="shared" si="12"/>
        <v>352.96887299999997</v>
      </c>
      <c r="O53" s="373">
        <f t="shared" si="12"/>
        <v>333.22</v>
      </c>
      <c r="P53" s="373">
        <f t="shared" si="12"/>
        <v>333.22</v>
      </c>
      <c r="Q53" s="385"/>
      <c r="R53" s="96" t="str">
        <f>IFERROR(VLOOKUP($C53,[15]Nod!$A$3:$E$992,4,FALSE)," ")</f>
        <v xml:space="preserve"> </v>
      </c>
      <c r="S53" s="96" t="str">
        <f>IFERROR(VLOOKUP($C53,[15]Nod!$A$3:$E$992,5,FALSE)," ")</f>
        <v xml:space="preserve"> </v>
      </c>
      <c r="T53" s="365" t="s">
        <v>80</v>
      </c>
      <c r="U53" s="338"/>
      <c r="V53" s="81">
        <v>6004</v>
      </c>
      <c r="W53" s="363">
        <f>+'[16]Resumen Modelo'!G43</f>
        <v>225.18</v>
      </c>
      <c r="X53" s="363">
        <f>+'[16]Resumen Modelo'!H43</f>
        <v>270.56</v>
      </c>
      <c r="Y53" s="363">
        <f>+'[16]Resumen Modelo'!I43</f>
        <v>269.77</v>
      </c>
      <c r="Z53" s="363">
        <f>+'[16]Resumen Modelo'!J43</f>
        <v>259.47000000000003</v>
      </c>
      <c r="AA53" s="363">
        <f>+'[16]Resumen Modelo'!K43</f>
        <v>262.16000000000003</v>
      </c>
      <c r="AB53" s="363">
        <f>+'[16]Resumen Modelo'!L43</f>
        <v>275.49</v>
      </c>
      <c r="AC53" s="363">
        <f>+'[16]Resumen Modelo'!M43</f>
        <v>267.87</v>
      </c>
      <c r="AD53" s="363">
        <f>+'[16]Resumen Modelo'!N43</f>
        <v>270.51</v>
      </c>
      <c r="AE53" s="363">
        <f>+'[16]Resumen Modelo'!O43</f>
        <v>284.16000000000003</v>
      </c>
      <c r="AF53" s="363">
        <f>+'[16]Resumen Modelo'!P43</f>
        <v>308.05</v>
      </c>
      <c r="AG53" s="363">
        <f>+'[16]Resumen Modelo'!Q43</f>
        <v>289.77999999999997</v>
      </c>
      <c r="AH53" s="363">
        <f>+'[16]Resumen Modelo'!R43</f>
        <v>295.33</v>
      </c>
      <c r="AI53" s="380">
        <f t="shared" ref="AI53:AI61" si="13">+MAX(W53:AH53)</f>
        <v>308.05</v>
      </c>
      <c r="AJ53" s="337" t="str">
        <f>IFERROR(VLOOKUP($V46,#REF!,4,FALSE)," ")</f>
        <v xml:space="preserve"> </v>
      </c>
      <c r="AK53" s="337" t="str">
        <f>IFERROR(VLOOKUP($V46,#REF!,5,FALSE)," ")</f>
        <v xml:space="preserve"> </v>
      </c>
    </row>
    <row r="54" spans="1:37" ht="15" customHeight="1" x14ac:dyDescent="0.25">
      <c r="A54" s="80" t="s">
        <v>79</v>
      </c>
      <c r="B54" s="338"/>
      <c r="C54" s="81">
        <v>6380</v>
      </c>
      <c r="D54" s="82">
        <v>10</v>
      </c>
      <c r="E54" s="363">
        <v>10</v>
      </c>
      <c r="F54" s="363">
        <v>10</v>
      </c>
      <c r="G54" s="363">
        <v>10</v>
      </c>
      <c r="H54" s="363">
        <v>10</v>
      </c>
      <c r="I54" s="363">
        <v>10</v>
      </c>
      <c r="J54" s="363">
        <v>10</v>
      </c>
      <c r="K54" s="363">
        <v>10</v>
      </c>
      <c r="L54" s="363">
        <v>10</v>
      </c>
      <c r="M54" s="363">
        <v>10</v>
      </c>
      <c r="N54" s="363">
        <v>10</v>
      </c>
      <c r="O54" s="363">
        <v>10</v>
      </c>
      <c r="P54" s="363">
        <v>10</v>
      </c>
      <c r="Q54" s="83">
        <v>0</v>
      </c>
      <c r="R54" s="96" t="str">
        <f>IFERROR(VLOOKUP($C54,[15]Nod!$A$3:$E$992,4,FALSE)," ")</f>
        <v>BOQIII230</v>
      </c>
      <c r="S54" s="96">
        <f>IFERROR(VLOOKUP($C54,[15]Nod!$A$3:$E$992,5,FALSE)," ")</f>
        <v>4</v>
      </c>
      <c r="T54" s="365" t="s">
        <v>82</v>
      </c>
      <c r="U54" s="338"/>
      <c r="V54" s="81">
        <v>6470</v>
      </c>
      <c r="W54" s="363">
        <f>+'[16]Resumen Modelo'!G44</f>
        <v>63.008277</v>
      </c>
      <c r="X54" s="363">
        <f>+'[16]Resumen Modelo'!H44</f>
        <v>57.199061999999998</v>
      </c>
      <c r="Y54" s="363">
        <f>+'[16]Resumen Modelo'!I44</f>
        <v>67.400000000000006</v>
      </c>
      <c r="Z54" s="363">
        <f>+'[16]Resumen Modelo'!J44</f>
        <v>51.13</v>
      </c>
      <c r="AA54" s="363">
        <f>+'[16]Resumen Modelo'!K44</f>
        <v>55.45317</v>
      </c>
      <c r="AB54" s="363">
        <f>+'[16]Resumen Modelo'!L44</f>
        <v>51.683463000000003</v>
      </c>
      <c r="AC54" s="363">
        <f>+'[16]Resumen Modelo'!M44</f>
        <v>52.453655999999995</v>
      </c>
      <c r="AD54" s="363">
        <f>+'[16]Resumen Modelo'!N44</f>
        <v>53.318403000000004</v>
      </c>
      <c r="AE54" s="363">
        <f>+'[16]Resumen Modelo'!O44</f>
        <v>63.226284999999997</v>
      </c>
      <c r="AF54" s="363">
        <f>+'[16]Resumen Modelo'!P44</f>
        <v>55.339117000000002</v>
      </c>
      <c r="AG54" s="363">
        <f>+'[16]Resumen Modelo'!Q44</f>
        <v>54.922795999999998</v>
      </c>
      <c r="AH54" s="363">
        <f>+'[16]Resumen Modelo'!R44</f>
        <v>53.088116999999997</v>
      </c>
      <c r="AI54" s="380">
        <f t="shared" si="13"/>
        <v>67.400000000000006</v>
      </c>
      <c r="AJ54" s="337" t="str">
        <f>IFERROR(VLOOKUP($V47,#REF!,4,FALSE)," ")</f>
        <v xml:space="preserve"> </v>
      </c>
      <c r="AK54" s="337" t="str">
        <f>IFERROR(VLOOKUP($V47,#REF!,5,FALSE)," ")</f>
        <v xml:space="preserve"> </v>
      </c>
    </row>
    <row r="55" spans="1:37" ht="15" customHeight="1" x14ac:dyDescent="0.25">
      <c r="A55" s="80" t="s">
        <v>81</v>
      </c>
      <c r="B55" s="338"/>
      <c r="C55" s="81">
        <v>6380</v>
      </c>
      <c r="D55" s="82">
        <v>4.75</v>
      </c>
      <c r="E55" s="363">
        <v>5.25</v>
      </c>
      <c r="F55" s="363">
        <v>5.25</v>
      </c>
      <c r="G55" s="363">
        <v>5.25</v>
      </c>
      <c r="H55" s="363">
        <v>5.25</v>
      </c>
      <c r="I55" s="363">
        <v>5.25</v>
      </c>
      <c r="J55" s="363">
        <v>5.25</v>
      </c>
      <c r="K55" s="363">
        <v>5.25</v>
      </c>
      <c r="L55" s="363">
        <v>5.25</v>
      </c>
      <c r="M55" s="363">
        <v>5.25</v>
      </c>
      <c r="N55" s="363">
        <v>5.25</v>
      </c>
      <c r="O55" s="363">
        <v>5.25</v>
      </c>
      <c r="P55" s="363">
        <v>5.25</v>
      </c>
      <c r="Q55" s="83">
        <v>0</v>
      </c>
      <c r="R55" s="96" t="str">
        <f>IFERROR(VLOOKUP($C55,[15]Nod!$A$3:$E$992,4,FALSE)," ")</f>
        <v>BOQIII230</v>
      </c>
      <c r="S55" s="96">
        <f>IFERROR(VLOOKUP($C55,[15]Nod!$A$3:$E$992,5,FALSE)," ")</f>
        <v>4</v>
      </c>
      <c r="T55" s="365"/>
      <c r="U55" s="338"/>
      <c r="V55" s="81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3"/>
      <c r="AH55" s="363"/>
      <c r="AI55" s="380"/>
      <c r="AJ55" s="337" t="str">
        <f>IFERROR(VLOOKUP($V48,#REF!,4,FALSE)," ")</f>
        <v xml:space="preserve"> </v>
      </c>
      <c r="AK55" s="337" t="str">
        <f>IFERROR(VLOOKUP($V48,#REF!,5,FALSE)," ")</f>
        <v xml:space="preserve"> </v>
      </c>
    </row>
    <row r="56" spans="1:37" ht="15" customHeight="1" x14ac:dyDescent="0.25">
      <c r="A56" s="80" t="s">
        <v>83</v>
      </c>
      <c r="B56" s="338"/>
      <c r="C56" s="81">
        <v>6013</v>
      </c>
      <c r="D56" s="82">
        <v>6.12</v>
      </c>
      <c r="E56" s="363">
        <v>6.12</v>
      </c>
      <c r="F56" s="363">
        <v>6.12</v>
      </c>
      <c r="G56" s="363">
        <v>6.12</v>
      </c>
      <c r="H56" s="363">
        <v>6.12</v>
      </c>
      <c r="I56" s="363">
        <v>6.12</v>
      </c>
      <c r="J56" s="363">
        <v>6.12</v>
      </c>
      <c r="K56" s="363">
        <v>6.12</v>
      </c>
      <c r="L56" s="363">
        <v>6.12</v>
      </c>
      <c r="M56" s="363">
        <v>6.12</v>
      </c>
      <c r="N56" s="363">
        <v>6.12</v>
      </c>
      <c r="O56" s="363">
        <v>6.12</v>
      </c>
      <c r="P56" s="363">
        <v>6.12</v>
      </c>
      <c r="Q56" s="83">
        <v>0</v>
      </c>
      <c r="R56" s="96" t="str">
        <f>IFERROR(VLOOKUP($C56,[15]Nod!$A$3:$E$992,4,FALSE)," ")</f>
        <v>MDN34</v>
      </c>
      <c r="S56" s="96">
        <f>IFERROR(VLOOKUP($C56,[15]Nod!$A$3:$E$992,5,FALSE)," ")</f>
        <v>4</v>
      </c>
      <c r="T56" s="364" t="s">
        <v>54</v>
      </c>
      <c r="U56" s="338"/>
      <c r="V56" s="81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80"/>
      <c r="AJ56" s="337" t="str">
        <f>IFERROR(VLOOKUP($V49,#REF!,4,FALSE)," ")</f>
        <v xml:space="preserve"> </v>
      </c>
      <c r="AK56" s="337" t="str">
        <f>IFERROR(VLOOKUP($V49,#REF!,5,FALSE)," ")</f>
        <v xml:space="preserve"> </v>
      </c>
    </row>
    <row r="57" spans="1:37" ht="15" customHeight="1" x14ac:dyDescent="0.25">
      <c r="A57" s="80" t="s">
        <v>84</v>
      </c>
      <c r="B57" s="338"/>
      <c r="C57" s="81">
        <v>6013</v>
      </c>
      <c r="D57" s="82">
        <v>4.95</v>
      </c>
      <c r="E57" s="363">
        <v>4.95</v>
      </c>
      <c r="F57" s="363">
        <v>4.95</v>
      </c>
      <c r="G57" s="363">
        <v>4.95</v>
      </c>
      <c r="H57" s="363">
        <v>4.95</v>
      </c>
      <c r="I57" s="363">
        <v>4.95</v>
      </c>
      <c r="J57" s="363">
        <v>4.95</v>
      </c>
      <c r="K57" s="363">
        <v>4.95</v>
      </c>
      <c r="L57" s="363">
        <v>4.95</v>
      </c>
      <c r="M57" s="363">
        <v>4.95</v>
      </c>
      <c r="N57" s="363">
        <v>4.95</v>
      </c>
      <c r="O57" s="363">
        <v>4.95</v>
      </c>
      <c r="P57" s="363">
        <v>4.95</v>
      </c>
      <c r="Q57" s="83">
        <v>0</v>
      </c>
      <c r="R57" s="96" t="str">
        <f>IFERROR(VLOOKUP($C57,[15]Nod!$A$3:$E$992,4,FALSE)," ")</f>
        <v>MDN34</v>
      </c>
      <c r="S57" s="96">
        <f>IFERROR(VLOOKUP($C57,[15]Nod!$A$3:$E$992,5,FALSE)," ")</f>
        <v>4</v>
      </c>
      <c r="T57" s="365" t="s">
        <v>78</v>
      </c>
      <c r="U57" s="338"/>
      <c r="V57" s="81">
        <v>6002</v>
      </c>
      <c r="W57" s="380">
        <f>+'[16]Resumen Modelo'!G47</f>
        <v>411.89</v>
      </c>
      <c r="X57" s="380">
        <f>+'[16]Resumen Modelo'!H47</f>
        <v>409.8</v>
      </c>
      <c r="Y57" s="380">
        <f>+'[16]Resumen Modelo'!I47</f>
        <v>411.8</v>
      </c>
      <c r="Z57" s="380">
        <f>+'[16]Resumen Modelo'!J47</f>
        <v>410.14</v>
      </c>
      <c r="AA57" s="380">
        <f>+'[16]Resumen Modelo'!K47</f>
        <v>401.64</v>
      </c>
      <c r="AB57" s="380">
        <f>+'[16]Resumen Modelo'!L47</f>
        <v>411.4</v>
      </c>
      <c r="AC57" s="380">
        <f>+'[16]Resumen Modelo'!M47</f>
        <v>398.15</v>
      </c>
      <c r="AD57" s="380">
        <f>+'[16]Resumen Modelo'!N47</f>
        <v>409.06</v>
      </c>
      <c r="AE57" s="380">
        <f>+'[16]Resumen Modelo'!O47</f>
        <v>418.17</v>
      </c>
      <c r="AF57" s="380">
        <f>+'[16]Resumen Modelo'!P47</f>
        <v>424.91</v>
      </c>
      <c r="AG57" s="380">
        <f>+'[16]Resumen Modelo'!Q47</f>
        <v>433.52</v>
      </c>
      <c r="AH57" s="380">
        <f>+'[16]Resumen Modelo'!R47</f>
        <v>408.09</v>
      </c>
      <c r="AI57" s="380">
        <f t="shared" si="13"/>
        <v>433.52</v>
      </c>
      <c r="AJ57" s="337" t="str">
        <f>IFERROR(VLOOKUP($V50,#REF!,4,FALSE)," ")</f>
        <v xml:space="preserve"> </v>
      </c>
      <c r="AK57" s="337" t="str">
        <f>IFERROR(VLOOKUP($V50,#REF!,5,FALSE)," ")</f>
        <v xml:space="preserve"> </v>
      </c>
    </row>
    <row r="58" spans="1:37" ht="15" customHeight="1" x14ac:dyDescent="0.25">
      <c r="A58" s="80" t="s">
        <v>85</v>
      </c>
      <c r="B58" s="338"/>
      <c r="C58" s="81">
        <v>6380</v>
      </c>
      <c r="D58" s="82">
        <v>20</v>
      </c>
      <c r="E58" s="363">
        <v>20</v>
      </c>
      <c r="F58" s="363">
        <v>20</v>
      </c>
      <c r="G58" s="363">
        <v>20</v>
      </c>
      <c r="H58" s="363">
        <v>20</v>
      </c>
      <c r="I58" s="363">
        <v>20</v>
      </c>
      <c r="J58" s="363">
        <v>20</v>
      </c>
      <c r="K58" s="363">
        <v>20</v>
      </c>
      <c r="L58" s="363">
        <v>20</v>
      </c>
      <c r="M58" s="363">
        <v>20</v>
      </c>
      <c r="N58" s="363">
        <v>20</v>
      </c>
      <c r="O58" s="363">
        <v>20</v>
      </c>
      <c r="P58" s="363">
        <v>20</v>
      </c>
      <c r="Q58" s="83">
        <v>0</v>
      </c>
      <c r="R58" s="96" t="str">
        <f>IFERROR(VLOOKUP($C58,[15]Nod!$A$3:$E$992,4,FALSE)," ")</f>
        <v>BOQIII230</v>
      </c>
      <c r="S58" s="96">
        <f>IFERROR(VLOOKUP($C58,[15]Nod!$A$3:$E$992,5,FALSE)," ")</f>
        <v>4</v>
      </c>
      <c r="T58" s="364" t="s">
        <v>57</v>
      </c>
      <c r="U58" s="338"/>
      <c r="V58" s="81"/>
      <c r="W58" s="363">
        <f>+'[16]Resumen Modelo'!G48</f>
        <v>0</v>
      </c>
      <c r="X58" s="363">
        <f>+'[16]Resumen Modelo'!H48</f>
        <v>0</v>
      </c>
      <c r="Y58" s="363">
        <f>+'[16]Resumen Modelo'!I48</f>
        <v>0</v>
      </c>
      <c r="Z58" s="363">
        <f>+'[16]Resumen Modelo'!J48</f>
        <v>0</v>
      </c>
      <c r="AA58" s="363">
        <f>+'[16]Resumen Modelo'!K48</f>
        <v>0</v>
      </c>
      <c r="AB58" s="363">
        <f>+'[16]Resumen Modelo'!L48</f>
        <v>0</v>
      </c>
      <c r="AC58" s="363">
        <f>+'[16]Resumen Modelo'!M48</f>
        <v>0</v>
      </c>
      <c r="AD58" s="363">
        <f>+'[16]Resumen Modelo'!N48</f>
        <v>0</v>
      </c>
      <c r="AE58" s="363">
        <f>+'[16]Resumen Modelo'!O48</f>
        <v>0</v>
      </c>
      <c r="AF58" s="363">
        <f>+'[16]Resumen Modelo'!P48</f>
        <v>0</v>
      </c>
      <c r="AG58" s="363">
        <f>+'[16]Resumen Modelo'!Q48</f>
        <v>0</v>
      </c>
      <c r="AH58" s="363">
        <f>+'[16]Resumen Modelo'!R48</f>
        <v>0</v>
      </c>
      <c r="AI58" s="380"/>
      <c r="AJ58" s="337" t="str">
        <f>IFERROR(VLOOKUP($V51,#REF!,4,FALSE)," ")</f>
        <v xml:space="preserve"> </v>
      </c>
      <c r="AK58" s="337" t="str">
        <f>IFERROR(VLOOKUP($V51,#REF!,5,FALSE)," ")</f>
        <v xml:space="preserve"> </v>
      </c>
    </row>
    <row r="59" spans="1:37" ht="15" customHeight="1" x14ac:dyDescent="0.25">
      <c r="A59" s="80" t="s">
        <v>86</v>
      </c>
      <c r="B59" s="338"/>
      <c r="C59" s="81">
        <v>6380</v>
      </c>
      <c r="D59" s="82">
        <v>14</v>
      </c>
      <c r="E59" s="363">
        <v>14</v>
      </c>
      <c r="F59" s="363">
        <v>14</v>
      </c>
      <c r="G59" s="363">
        <v>14</v>
      </c>
      <c r="H59" s="363">
        <v>14</v>
      </c>
      <c r="I59" s="363">
        <v>14</v>
      </c>
      <c r="J59" s="363">
        <v>14</v>
      </c>
      <c r="K59" s="363">
        <v>14</v>
      </c>
      <c r="L59" s="363">
        <v>14</v>
      </c>
      <c r="M59" s="363">
        <v>14</v>
      </c>
      <c r="N59" s="363">
        <v>14</v>
      </c>
      <c r="O59" s="363">
        <v>12.52</v>
      </c>
      <c r="P59" s="363">
        <v>12.52</v>
      </c>
      <c r="Q59" s="83">
        <v>0</v>
      </c>
      <c r="R59" s="96" t="str">
        <f>IFERROR(VLOOKUP($C59,[15]Nod!$A$3:$E$992,4,FALSE)," ")</f>
        <v>BOQIII230</v>
      </c>
      <c r="S59" s="96">
        <f>IFERROR(VLOOKUP($C59,[15]Nod!$A$3:$E$992,5,FALSE)," ")</f>
        <v>4</v>
      </c>
      <c r="T59" s="365" t="s">
        <v>88</v>
      </c>
      <c r="U59" s="338"/>
      <c r="V59" s="81">
        <v>6024</v>
      </c>
      <c r="W59" s="363">
        <f>+'[16]Resumen Modelo'!G49</f>
        <v>18.649999999999999</v>
      </c>
      <c r="X59" s="363">
        <f>+'[16]Resumen Modelo'!H49</f>
        <v>15.14</v>
      </c>
      <c r="Y59" s="363">
        <f>+'[16]Resumen Modelo'!I49</f>
        <v>15.31</v>
      </c>
      <c r="Z59" s="363">
        <f>+'[16]Resumen Modelo'!J49</f>
        <v>15.36</v>
      </c>
      <c r="AA59" s="363">
        <f>+'[16]Resumen Modelo'!K49</f>
        <v>15.05</v>
      </c>
      <c r="AB59" s="363">
        <f>+'[16]Resumen Modelo'!L49</f>
        <v>27.89</v>
      </c>
      <c r="AC59" s="363">
        <f>+'[16]Resumen Modelo'!M49</f>
        <v>14.23</v>
      </c>
      <c r="AD59" s="363">
        <f>+'[16]Resumen Modelo'!N49</f>
        <v>14.11</v>
      </c>
      <c r="AE59" s="363">
        <f>+'[16]Resumen Modelo'!O49</f>
        <v>16.34</v>
      </c>
      <c r="AF59" s="363">
        <f>+'[16]Resumen Modelo'!P49</f>
        <v>14.51</v>
      </c>
      <c r="AG59" s="363">
        <f>+'[16]Resumen Modelo'!Q49</f>
        <v>14.52</v>
      </c>
      <c r="AH59" s="363">
        <f>+'[16]Resumen Modelo'!R49</f>
        <v>14.93</v>
      </c>
      <c r="AI59" s="380">
        <f t="shared" si="13"/>
        <v>27.89</v>
      </c>
      <c r="AJ59" s="337"/>
      <c r="AK59" s="337"/>
    </row>
    <row r="60" spans="1:37" ht="15" customHeight="1" x14ac:dyDescent="0.25">
      <c r="A60" s="80" t="s">
        <v>87</v>
      </c>
      <c r="B60" s="338"/>
      <c r="C60" s="81">
        <v>6380</v>
      </c>
      <c r="D60" s="82">
        <v>14</v>
      </c>
      <c r="E60" s="363">
        <v>14</v>
      </c>
      <c r="F60" s="363">
        <v>14</v>
      </c>
      <c r="G60" s="363">
        <v>14</v>
      </c>
      <c r="H60" s="363">
        <v>14</v>
      </c>
      <c r="I60" s="363">
        <v>14</v>
      </c>
      <c r="J60" s="363">
        <v>14</v>
      </c>
      <c r="K60" s="363">
        <v>14</v>
      </c>
      <c r="L60" s="363">
        <v>14</v>
      </c>
      <c r="M60" s="363">
        <v>14</v>
      </c>
      <c r="N60" s="363">
        <v>14</v>
      </c>
      <c r="O60" s="363">
        <v>14</v>
      </c>
      <c r="P60" s="363">
        <v>14</v>
      </c>
      <c r="Q60" s="83">
        <v>0</v>
      </c>
      <c r="R60" s="96" t="str">
        <f>IFERROR(VLOOKUP($C60,[15]Nod!$A$3:$E$992,4,FALSE)," ")</f>
        <v>BOQIII230</v>
      </c>
      <c r="S60" s="96">
        <f>IFERROR(VLOOKUP($C60,[15]Nod!$A$3:$E$992,5,FALSE)," ")</f>
        <v>4</v>
      </c>
      <c r="T60" s="365" t="s">
        <v>90</v>
      </c>
      <c r="U60" s="338"/>
      <c r="V60" s="81">
        <v>6002</v>
      </c>
      <c r="W60" s="363">
        <f>+'[16]Resumen Modelo'!G50</f>
        <v>0.76</v>
      </c>
      <c r="X60" s="363">
        <f>+'[16]Resumen Modelo'!H50</f>
        <v>0.76</v>
      </c>
      <c r="Y60" s="363">
        <f>+'[16]Resumen Modelo'!I50</f>
        <v>0.74</v>
      </c>
      <c r="Z60" s="363">
        <f>+'[16]Resumen Modelo'!J50</f>
        <v>0.75</v>
      </c>
      <c r="AA60" s="363">
        <f>+'[16]Resumen Modelo'!K50</f>
        <v>0.73</v>
      </c>
      <c r="AB60" s="363">
        <f>+'[16]Resumen Modelo'!L50</f>
        <v>0.74</v>
      </c>
      <c r="AC60" s="363">
        <f>+'[16]Resumen Modelo'!M50</f>
        <v>0.74</v>
      </c>
      <c r="AD60" s="363">
        <f>+'[16]Resumen Modelo'!N50</f>
        <v>0.74</v>
      </c>
      <c r="AE60" s="363">
        <f>+'[16]Resumen Modelo'!O50</f>
        <v>0.75</v>
      </c>
      <c r="AF60" s="363">
        <f>+'[16]Resumen Modelo'!P50</f>
        <v>0.76</v>
      </c>
      <c r="AG60" s="363">
        <f>+'[16]Resumen Modelo'!Q50</f>
        <v>0.81</v>
      </c>
      <c r="AH60" s="363">
        <f>+'[16]Resumen Modelo'!R50</f>
        <v>0.72</v>
      </c>
      <c r="AI60" s="380">
        <f t="shared" si="13"/>
        <v>0.81</v>
      </c>
      <c r="AJ60" s="337" t="str">
        <f>IFERROR(VLOOKUP($V52,#REF!,4,FALSE)," ")</f>
        <v xml:space="preserve"> </v>
      </c>
      <c r="AK60" s="337" t="str">
        <f>IFERROR(VLOOKUP($V52,#REF!,5,FALSE)," ")</f>
        <v xml:space="preserve"> </v>
      </c>
    </row>
    <row r="61" spans="1:37" ht="15" customHeight="1" x14ac:dyDescent="0.25">
      <c r="A61" s="392" t="s">
        <v>89</v>
      </c>
      <c r="B61" s="338"/>
      <c r="C61" s="393">
        <v>6013</v>
      </c>
      <c r="D61" s="82"/>
      <c r="E61" s="363">
        <v>0</v>
      </c>
      <c r="F61" s="363">
        <v>0</v>
      </c>
      <c r="G61" s="363">
        <v>0</v>
      </c>
      <c r="H61" s="363">
        <v>0</v>
      </c>
      <c r="I61" s="363">
        <v>0</v>
      </c>
      <c r="J61" s="363">
        <v>0</v>
      </c>
      <c r="K61" s="363">
        <v>0</v>
      </c>
      <c r="L61" s="363">
        <v>0</v>
      </c>
      <c r="M61" s="363">
        <v>0</v>
      </c>
      <c r="N61" s="363">
        <v>0</v>
      </c>
      <c r="O61" s="363">
        <v>0</v>
      </c>
      <c r="P61" s="363">
        <v>0</v>
      </c>
      <c r="Q61" s="374"/>
      <c r="R61" s="96" t="str">
        <f>IFERROR(VLOOKUP($C61,[15]Nod!$A$3:$E$992,4,FALSE)," ")</f>
        <v>MDN34</v>
      </c>
      <c r="S61" s="96">
        <f>IFERROR(VLOOKUP($C61,[15]Nod!$A$3:$E$992,5,FALSE)," ")</f>
        <v>4</v>
      </c>
      <c r="T61" s="365" t="s">
        <v>59</v>
      </c>
      <c r="U61" s="338"/>
      <c r="V61" s="81">
        <v>6002</v>
      </c>
      <c r="W61" s="363">
        <f>+'[16]Resumen Modelo'!G51</f>
        <v>3.4299999999999997</v>
      </c>
      <c r="X61" s="363">
        <f>+'[16]Resumen Modelo'!H51</f>
        <v>3.3100000000000005</v>
      </c>
      <c r="Y61" s="363">
        <f>+'[16]Resumen Modelo'!I51</f>
        <v>3.37</v>
      </c>
      <c r="Z61" s="363">
        <f>+'[16]Resumen Modelo'!J51</f>
        <v>3.3200000000000003</v>
      </c>
      <c r="AA61" s="363">
        <f>+'[16]Resumen Modelo'!K51</f>
        <v>3.2800000000000007</v>
      </c>
      <c r="AB61" s="363">
        <f>+'[16]Resumen Modelo'!L51</f>
        <v>3.38</v>
      </c>
      <c r="AC61" s="363">
        <f>+'[16]Resumen Modelo'!M51</f>
        <v>3.25</v>
      </c>
      <c r="AD61" s="363">
        <f>+'[16]Resumen Modelo'!N51</f>
        <v>3.2800000000000002</v>
      </c>
      <c r="AE61" s="363">
        <f>+'[16]Resumen Modelo'!O51</f>
        <v>3.27</v>
      </c>
      <c r="AF61" s="363">
        <f>+'[16]Resumen Modelo'!P51</f>
        <v>3.3100000000000005</v>
      </c>
      <c r="AG61" s="363">
        <f>+'[16]Resumen Modelo'!Q51</f>
        <v>3.2900000000000005</v>
      </c>
      <c r="AH61" s="363">
        <f>+'[16]Resumen Modelo'!R51</f>
        <v>3.2300000000000004</v>
      </c>
      <c r="AI61" s="380">
        <f t="shared" si="13"/>
        <v>3.4299999999999997</v>
      </c>
      <c r="AJ61" s="337" t="str">
        <f>IFERROR(VLOOKUP($V53,#REF!,4,FALSE)," ")</f>
        <v xml:space="preserve"> </v>
      </c>
      <c r="AK61" s="337" t="str">
        <f>IFERROR(VLOOKUP($V53,#REF!,5,FALSE)," ")</f>
        <v xml:space="preserve"> </v>
      </c>
    </row>
    <row r="62" spans="1:37" ht="15" customHeight="1" x14ac:dyDescent="0.25">
      <c r="A62" s="392" t="s">
        <v>91</v>
      </c>
      <c r="B62" s="338"/>
      <c r="C62" s="393">
        <v>6013</v>
      </c>
      <c r="D62" s="82"/>
      <c r="E62" s="363">
        <v>0</v>
      </c>
      <c r="F62" s="363">
        <v>0</v>
      </c>
      <c r="G62" s="363">
        <v>0</v>
      </c>
      <c r="H62" s="363">
        <v>0</v>
      </c>
      <c r="I62" s="363">
        <v>0</v>
      </c>
      <c r="J62" s="363">
        <v>0</v>
      </c>
      <c r="K62" s="363">
        <v>0</v>
      </c>
      <c r="L62" s="363">
        <v>0</v>
      </c>
      <c r="M62" s="363">
        <v>0</v>
      </c>
      <c r="N62" s="363">
        <v>0</v>
      </c>
      <c r="O62" s="363">
        <v>0</v>
      </c>
      <c r="P62" s="363">
        <v>0</v>
      </c>
      <c r="Q62" s="374"/>
      <c r="R62" s="96" t="str">
        <f>IFERROR(VLOOKUP($C62,[15]Nod!$A$3:$E$992,4,FALSE)," ")</f>
        <v>MDN34</v>
      </c>
      <c r="S62" s="96">
        <f>IFERROR(VLOOKUP($C62,[15]Nod!$A$3:$E$992,5,FALSE)," ")</f>
        <v>4</v>
      </c>
      <c r="T62" s="365" t="s">
        <v>93</v>
      </c>
      <c r="U62" s="338"/>
      <c r="V62" s="81">
        <v>6002</v>
      </c>
      <c r="W62" s="363">
        <f>+'[16]Resumen Modelo'!G52</f>
        <v>1.2</v>
      </c>
      <c r="X62" s="363">
        <f>+'[16]Resumen Modelo'!H52</f>
        <v>1.1599999999999999</v>
      </c>
      <c r="Y62" s="363">
        <f>+'[16]Resumen Modelo'!I52</f>
        <v>1.19</v>
      </c>
      <c r="Z62" s="363">
        <f>+'[16]Resumen Modelo'!J52</f>
        <v>1.18</v>
      </c>
      <c r="AA62" s="363">
        <f>+'[16]Resumen Modelo'!K52</f>
        <v>1.17</v>
      </c>
      <c r="AB62" s="363">
        <f>+'[16]Resumen Modelo'!L52</f>
        <v>1.2</v>
      </c>
      <c r="AC62" s="363">
        <f>+'[16]Resumen Modelo'!M52</f>
        <v>1.2</v>
      </c>
      <c r="AD62" s="363">
        <f>+'[16]Resumen Modelo'!N52</f>
        <v>1.22</v>
      </c>
      <c r="AE62" s="363">
        <f>+'[16]Resumen Modelo'!O52</f>
        <v>1.22</v>
      </c>
      <c r="AF62" s="363">
        <f>+'[16]Resumen Modelo'!P52</f>
        <v>1.22</v>
      </c>
      <c r="AG62" s="363">
        <f>+'[16]Resumen Modelo'!Q52</f>
        <v>1.25</v>
      </c>
      <c r="AH62" s="363">
        <f>+'[16]Resumen Modelo'!R52</f>
        <v>1.24</v>
      </c>
      <c r="AI62" s="380">
        <f>SUM(W62:AH62)</f>
        <v>14.450000000000001</v>
      </c>
      <c r="AJ62" s="337"/>
      <c r="AK62" s="337"/>
    </row>
    <row r="63" spans="1:37" ht="15" customHeight="1" x14ac:dyDescent="0.25">
      <c r="A63" s="80" t="s">
        <v>92</v>
      </c>
      <c r="B63" s="338"/>
      <c r="C63" s="81">
        <v>6380</v>
      </c>
      <c r="D63" s="82">
        <v>10</v>
      </c>
      <c r="E63" s="363">
        <v>10</v>
      </c>
      <c r="F63" s="363">
        <v>10</v>
      </c>
      <c r="G63" s="363">
        <v>10</v>
      </c>
      <c r="H63" s="363">
        <v>10</v>
      </c>
      <c r="I63" s="363">
        <v>10</v>
      </c>
      <c r="J63" s="363">
        <v>10</v>
      </c>
      <c r="K63" s="363">
        <v>10</v>
      </c>
      <c r="L63" s="363">
        <v>10</v>
      </c>
      <c r="M63" s="363">
        <v>10</v>
      </c>
      <c r="N63" s="363">
        <v>10</v>
      </c>
      <c r="O63" s="363">
        <v>10</v>
      </c>
      <c r="P63" s="363">
        <v>10</v>
      </c>
      <c r="Q63" s="83">
        <v>0</v>
      </c>
      <c r="R63" s="96" t="str">
        <f>IFERROR(VLOOKUP($C63,[15]Nod!$A$3:$E$992,4,FALSE)," ")</f>
        <v>BOQIII230</v>
      </c>
      <c r="S63" s="96">
        <f>IFERROR(VLOOKUP($C63,[15]Nod!$A$3:$E$992,5,FALSE)," ")</f>
        <v>4</v>
      </c>
      <c r="T63" s="365" t="s">
        <v>95</v>
      </c>
      <c r="U63" s="338"/>
      <c r="V63" s="81">
        <v>6002</v>
      </c>
      <c r="W63" s="363">
        <f>+'[16]Resumen Modelo'!G53</f>
        <v>0.15</v>
      </c>
      <c r="X63" s="363">
        <f>+'[16]Resumen Modelo'!H53</f>
        <v>0.15</v>
      </c>
      <c r="Y63" s="363">
        <f>+'[16]Resumen Modelo'!I53</f>
        <v>0.15</v>
      </c>
      <c r="Z63" s="363">
        <f>+'[16]Resumen Modelo'!J53</f>
        <v>0.15</v>
      </c>
      <c r="AA63" s="363">
        <f>+'[16]Resumen Modelo'!K53</f>
        <v>0.17</v>
      </c>
      <c r="AB63" s="363">
        <f>+'[16]Resumen Modelo'!L53</f>
        <v>0.16</v>
      </c>
      <c r="AC63" s="363">
        <f>+'[16]Resumen Modelo'!M53</f>
        <v>0.16</v>
      </c>
      <c r="AD63" s="363">
        <f>+'[16]Resumen Modelo'!N53</f>
        <v>0.17</v>
      </c>
      <c r="AE63" s="363">
        <f>+'[16]Resumen Modelo'!O53</f>
        <v>0.16</v>
      </c>
      <c r="AF63" s="363">
        <f>+'[16]Resumen Modelo'!P53</f>
        <v>0.16</v>
      </c>
      <c r="AG63" s="363">
        <f>+'[16]Resumen Modelo'!Q53</f>
        <v>0.16</v>
      </c>
      <c r="AH63" s="363">
        <f>+'[16]Resumen Modelo'!R53</f>
        <v>0.15</v>
      </c>
      <c r="AI63" s="380">
        <f>SUM(W63:AH63)</f>
        <v>1.8899999999999997</v>
      </c>
      <c r="AJ63" s="337" t="str">
        <f>IFERROR(VLOOKUP($V55,#REF!,4,FALSE)," ")</f>
        <v xml:space="preserve"> </v>
      </c>
      <c r="AK63" s="337" t="str">
        <f>IFERROR(VLOOKUP($V55,#REF!,5,FALSE)," ")</f>
        <v xml:space="preserve"> </v>
      </c>
    </row>
    <row r="64" spans="1:37" ht="15" customHeight="1" x14ac:dyDescent="0.25">
      <c r="A64" s="80" t="s">
        <v>94</v>
      </c>
      <c r="B64" s="338"/>
      <c r="C64" s="81">
        <v>6380</v>
      </c>
      <c r="D64" s="82">
        <v>10</v>
      </c>
      <c r="E64" s="363">
        <v>10</v>
      </c>
      <c r="F64" s="363">
        <v>10</v>
      </c>
      <c r="G64" s="363">
        <v>10</v>
      </c>
      <c r="H64" s="363">
        <v>10</v>
      </c>
      <c r="I64" s="363">
        <v>10</v>
      </c>
      <c r="J64" s="363">
        <v>10</v>
      </c>
      <c r="K64" s="363">
        <v>10</v>
      </c>
      <c r="L64" s="363">
        <v>10</v>
      </c>
      <c r="M64" s="363">
        <v>10</v>
      </c>
      <c r="N64" s="363">
        <v>10</v>
      </c>
      <c r="O64" s="363">
        <v>10</v>
      </c>
      <c r="P64" s="363">
        <v>10</v>
      </c>
      <c r="Q64" s="83">
        <v>0</v>
      </c>
      <c r="R64" s="96" t="str">
        <f>IFERROR(VLOOKUP($C64,[15]Nod!$A$3:$E$992,4,FALSE)," ")</f>
        <v>BOQIII230</v>
      </c>
      <c r="S64" s="96">
        <f>IFERROR(VLOOKUP($C64,[15]Nod!$A$3:$E$992,5,FALSE)," ")</f>
        <v>4</v>
      </c>
      <c r="T64" s="365" t="s">
        <v>97</v>
      </c>
      <c r="U64" s="338"/>
      <c r="V64" s="81">
        <v>6002</v>
      </c>
      <c r="W64" s="363">
        <f>+'[16]Resumen Modelo'!G54</f>
        <v>1.18</v>
      </c>
      <c r="X64" s="363">
        <f>+'[16]Resumen Modelo'!H54</f>
        <v>1.1599999999999999</v>
      </c>
      <c r="Y64" s="363">
        <f>+'[16]Resumen Modelo'!I54</f>
        <v>1.2</v>
      </c>
      <c r="Z64" s="363">
        <f>+'[16]Resumen Modelo'!J54</f>
        <v>1.2</v>
      </c>
      <c r="AA64" s="363">
        <f>+'[16]Resumen Modelo'!K54</f>
        <v>1.29</v>
      </c>
      <c r="AB64" s="363">
        <f>+'[16]Resumen Modelo'!L54</f>
        <v>1.21</v>
      </c>
      <c r="AC64" s="363">
        <f>+'[16]Resumen Modelo'!M54</f>
        <v>1.17</v>
      </c>
      <c r="AD64" s="363">
        <f>+'[16]Resumen Modelo'!N54</f>
        <v>1.18</v>
      </c>
      <c r="AE64" s="363">
        <f>+'[16]Resumen Modelo'!O54</f>
        <v>1.1599999999999999</v>
      </c>
      <c r="AF64" s="363">
        <f>+'[16]Resumen Modelo'!P54</f>
        <v>1.1599999999999999</v>
      </c>
      <c r="AG64" s="363">
        <f>+'[16]Resumen Modelo'!Q54</f>
        <v>1.25</v>
      </c>
      <c r="AH64" s="363">
        <f>+'[16]Resumen Modelo'!R54</f>
        <v>1.2</v>
      </c>
      <c r="AI64" s="380">
        <f>SUM(W64:AH64)</f>
        <v>14.36</v>
      </c>
      <c r="AJ64" s="337" t="str">
        <f>IFERROR(VLOOKUP($V56,#REF!,4,FALSE)," ")</f>
        <v xml:space="preserve"> </v>
      </c>
      <c r="AK64" s="337" t="str">
        <f>IFERROR(VLOOKUP($V56,#REF!,5,FALSE)," ")</f>
        <v xml:space="preserve"> </v>
      </c>
    </row>
    <row r="65" spans="1:37" ht="15" customHeight="1" x14ac:dyDescent="0.25">
      <c r="A65" s="80" t="s">
        <v>96</v>
      </c>
      <c r="B65" s="338"/>
      <c r="C65" s="81">
        <v>6013</v>
      </c>
      <c r="D65" s="82">
        <v>8.1199999999999992</v>
      </c>
      <c r="E65" s="363">
        <v>8.1199999999999992</v>
      </c>
      <c r="F65" s="363">
        <v>8.1199999999999992</v>
      </c>
      <c r="G65" s="363">
        <v>8.1199999999999992</v>
      </c>
      <c r="H65" s="363">
        <v>8.1199999999999992</v>
      </c>
      <c r="I65" s="363">
        <v>8.1199999999999992</v>
      </c>
      <c r="J65" s="363">
        <v>8.1199999999999992</v>
      </c>
      <c r="K65" s="363">
        <v>8.1199999999999992</v>
      </c>
      <c r="L65" s="363">
        <v>8.1199999999999992</v>
      </c>
      <c r="M65" s="363">
        <v>8.1199999999999992</v>
      </c>
      <c r="N65" s="363">
        <v>8.1199999999999992</v>
      </c>
      <c r="O65" s="363">
        <v>8.1199999999999992</v>
      </c>
      <c r="P65" s="363">
        <v>8.1199999999999992</v>
      </c>
      <c r="Q65" s="83">
        <v>0</v>
      </c>
      <c r="R65" s="96" t="str">
        <f>IFERROR(VLOOKUP($C65,[15]Nod!$A$3:$E$992,4,FALSE)," ")</f>
        <v>MDN34</v>
      </c>
      <c r="S65" s="96">
        <f>IFERROR(VLOOKUP($C65,[15]Nod!$A$3:$E$992,5,FALSE)," ")</f>
        <v>4</v>
      </c>
      <c r="T65" s="365" t="s">
        <v>99</v>
      </c>
      <c r="U65" s="338"/>
      <c r="V65" s="81">
        <v>6002</v>
      </c>
      <c r="W65" s="363">
        <f>+'[16]Resumen Modelo'!G55</f>
        <v>2.79</v>
      </c>
      <c r="X65" s="363">
        <f>+'[16]Resumen Modelo'!H55</f>
        <v>2.75</v>
      </c>
      <c r="Y65" s="363">
        <f>+'[16]Resumen Modelo'!I55</f>
        <v>2.71</v>
      </c>
      <c r="Z65" s="363">
        <f>+'[16]Resumen Modelo'!J55</f>
        <v>2.71</v>
      </c>
      <c r="AA65" s="363">
        <f>+'[16]Resumen Modelo'!K55</f>
        <v>2.71</v>
      </c>
      <c r="AB65" s="363">
        <f>+'[16]Resumen Modelo'!L55</f>
        <v>2.72</v>
      </c>
      <c r="AC65" s="363">
        <f>+'[16]Resumen Modelo'!M55</f>
        <v>0</v>
      </c>
      <c r="AD65" s="363">
        <f>+'[16]Resumen Modelo'!N55</f>
        <v>0</v>
      </c>
      <c r="AE65" s="363">
        <f>+'[16]Resumen Modelo'!O55</f>
        <v>0</v>
      </c>
      <c r="AF65" s="363">
        <f>+'[16]Resumen Modelo'!P55</f>
        <v>0</v>
      </c>
      <c r="AG65" s="363">
        <f>+'[16]Resumen Modelo'!Q55</f>
        <v>0</v>
      </c>
      <c r="AH65" s="363">
        <f>+'[16]Resumen Modelo'!R55</f>
        <v>0</v>
      </c>
      <c r="AI65" s="380">
        <f>SUM(W65:AH65)</f>
        <v>16.39</v>
      </c>
      <c r="AJ65" s="337" t="str">
        <f>IFERROR(VLOOKUP($V57,#REF!,4,FALSE)," ")</f>
        <v xml:space="preserve"> </v>
      </c>
      <c r="AK65" s="337" t="str">
        <f>IFERROR(VLOOKUP($V57,#REF!,5,FALSE)," ")</f>
        <v xml:space="preserve"> </v>
      </c>
    </row>
    <row r="66" spans="1:37" ht="15" customHeight="1" x14ac:dyDescent="0.25">
      <c r="A66" s="80" t="s">
        <v>98</v>
      </c>
      <c r="B66" s="338"/>
      <c r="C66" s="81">
        <v>6182</v>
      </c>
      <c r="D66" s="82">
        <v>51.65</v>
      </c>
      <c r="E66" s="363">
        <v>51.65</v>
      </c>
      <c r="F66" s="363">
        <v>51.65</v>
      </c>
      <c r="G66" s="363">
        <v>51.65</v>
      </c>
      <c r="H66" s="363">
        <v>51.65</v>
      </c>
      <c r="I66" s="363">
        <v>51.65</v>
      </c>
      <c r="J66" s="363">
        <v>51.65</v>
      </c>
      <c r="K66" s="363">
        <v>51.65</v>
      </c>
      <c r="L66" s="363">
        <v>51.65</v>
      </c>
      <c r="M66" s="363">
        <v>51.65</v>
      </c>
      <c r="N66" s="363">
        <v>51.65</v>
      </c>
      <c r="O66" s="363">
        <v>51.65</v>
      </c>
      <c r="P66" s="363">
        <v>51.65</v>
      </c>
      <c r="Q66" s="83">
        <v>0</v>
      </c>
      <c r="R66" s="96" t="str">
        <f>IFERROR(VLOOKUP($C66,[15]Nod!$A$3:$E$992,4,FALSE)," ")</f>
        <v>VEL230</v>
      </c>
      <c r="S66" s="96">
        <f>IFERROR(VLOOKUP($C66,[15]Nod!$A$3:$E$992,5,FALSE)," ")</f>
        <v>4</v>
      </c>
      <c r="T66" s="365" t="s">
        <v>101</v>
      </c>
      <c r="U66" s="338"/>
      <c r="V66" s="81">
        <v>6004</v>
      </c>
      <c r="W66" s="363">
        <f>+'[16]Resumen Modelo'!G56</f>
        <v>0.33</v>
      </c>
      <c r="X66" s="363">
        <f>+'[16]Resumen Modelo'!H56</f>
        <v>0.34</v>
      </c>
      <c r="Y66" s="363">
        <f>+'[16]Resumen Modelo'!I56</f>
        <v>0.35</v>
      </c>
      <c r="Z66" s="363">
        <f>+'[16]Resumen Modelo'!J56</f>
        <v>0.36</v>
      </c>
      <c r="AA66" s="363">
        <f>+'[16]Resumen Modelo'!K56</f>
        <v>0.34</v>
      </c>
      <c r="AB66" s="363">
        <f>+'[16]Resumen Modelo'!L56</f>
        <v>0.34</v>
      </c>
      <c r="AC66" s="363">
        <f>+'[16]Resumen Modelo'!M56</f>
        <v>0.35</v>
      </c>
      <c r="AD66" s="363">
        <f>+'[16]Resumen Modelo'!N56</f>
        <v>0.32</v>
      </c>
      <c r="AE66" s="363">
        <f>+'[16]Resumen Modelo'!O56</f>
        <v>0.36</v>
      </c>
      <c r="AF66" s="363">
        <f>+'[16]Resumen Modelo'!P56</f>
        <v>0.33</v>
      </c>
      <c r="AG66" s="363">
        <f>+'[16]Resumen Modelo'!Q56</f>
        <v>0.34</v>
      </c>
      <c r="AH66" s="363">
        <f>+'[16]Resumen Modelo'!R56</f>
        <v>0.37</v>
      </c>
      <c r="AI66" s="380">
        <f>SUM(W66:AH66)</f>
        <v>4.13</v>
      </c>
      <c r="AJ66" s="337" t="str">
        <f>IFERROR(VLOOKUP($V58,#REF!,4,FALSE)," ")</f>
        <v xml:space="preserve"> </v>
      </c>
      <c r="AK66" s="337" t="str">
        <f>IFERROR(VLOOKUP($V58,#REF!,5,FALSE)," ")</f>
        <v xml:space="preserve"> </v>
      </c>
    </row>
    <row r="67" spans="1:37" ht="15" customHeight="1" x14ac:dyDescent="0.25">
      <c r="A67" s="80" t="s">
        <v>100</v>
      </c>
      <c r="B67" s="338"/>
      <c r="C67" s="81">
        <v>6182</v>
      </c>
      <c r="D67" s="82">
        <v>32.6</v>
      </c>
      <c r="E67" s="363">
        <v>32.6</v>
      </c>
      <c r="F67" s="363">
        <v>32.6</v>
      </c>
      <c r="G67" s="363">
        <v>32.6</v>
      </c>
      <c r="H67" s="363">
        <v>32.6</v>
      </c>
      <c r="I67" s="363">
        <v>32.6</v>
      </c>
      <c r="J67" s="363">
        <v>32.6</v>
      </c>
      <c r="K67" s="363">
        <v>32.6</v>
      </c>
      <c r="L67" s="363">
        <v>32.6</v>
      </c>
      <c r="M67" s="363">
        <v>32.6</v>
      </c>
      <c r="N67" s="363">
        <v>32.6</v>
      </c>
      <c r="O67" s="363">
        <v>32.6</v>
      </c>
      <c r="P67" s="363">
        <v>32.6</v>
      </c>
      <c r="Q67" s="83"/>
      <c r="R67" s="96" t="str">
        <f>IFERROR(VLOOKUP($C67,[15]Nod!$A$3:$E$992,4,FALSE)," ")</f>
        <v>VEL230</v>
      </c>
      <c r="S67" s="96">
        <f>IFERROR(VLOOKUP($C67,[15]Nod!$A$3:$E$992,5,FALSE)," ")</f>
        <v>4</v>
      </c>
      <c r="T67" s="366" t="s">
        <v>37</v>
      </c>
      <c r="U67" s="367"/>
      <c r="V67" s="368"/>
      <c r="W67" s="363"/>
      <c r="X67" s="363"/>
      <c r="Y67" s="363"/>
      <c r="Z67" s="363"/>
      <c r="AA67" s="363"/>
      <c r="AB67" s="363"/>
      <c r="AC67" s="363"/>
      <c r="AD67" s="363"/>
      <c r="AE67" s="363"/>
      <c r="AF67" s="363"/>
      <c r="AG67" s="363"/>
      <c r="AH67" s="363"/>
      <c r="AI67" s="387"/>
      <c r="AJ67" s="337" t="str">
        <f>IFERROR(VLOOKUP($V59,#REF!,4,FALSE)," ")</f>
        <v xml:space="preserve"> </v>
      </c>
      <c r="AK67" s="337" t="str">
        <f>IFERROR(VLOOKUP($V59,#REF!,5,FALSE)," ")</f>
        <v xml:space="preserve"> </v>
      </c>
    </row>
    <row r="68" spans="1:37" ht="15" customHeight="1" x14ac:dyDescent="0.25">
      <c r="A68" s="80" t="s">
        <v>102</v>
      </c>
      <c r="B68" s="338"/>
      <c r="C68" s="81">
        <v>6380</v>
      </c>
      <c r="D68" s="82">
        <v>3.29</v>
      </c>
      <c r="E68" s="363">
        <v>3.29</v>
      </c>
      <c r="F68" s="363">
        <v>3.29</v>
      </c>
      <c r="G68" s="363">
        <v>3.29</v>
      </c>
      <c r="H68" s="363">
        <v>3.29</v>
      </c>
      <c r="I68" s="363">
        <v>3.29</v>
      </c>
      <c r="J68" s="363">
        <v>3.29</v>
      </c>
      <c r="K68" s="363">
        <v>3.29</v>
      </c>
      <c r="L68" s="363">
        <v>3.29</v>
      </c>
      <c r="M68" s="363">
        <v>3.29</v>
      </c>
      <c r="N68" s="363">
        <v>3.29</v>
      </c>
      <c r="O68" s="363">
        <v>3.29</v>
      </c>
      <c r="P68" s="363">
        <v>3.29</v>
      </c>
      <c r="Q68" s="83">
        <v>0</v>
      </c>
      <c r="R68" s="96" t="str">
        <f>IFERROR(VLOOKUP($C68,[15]Nod!$A$3:$E$992,4,FALSE)," ")</f>
        <v>BOQIII230</v>
      </c>
      <c r="S68" s="96">
        <f>IFERROR(VLOOKUP($C68,[15]Nod!$A$3:$E$992,5,FALSE)," ")</f>
        <v>4</v>
      </c>
      <c r="T68" s="370">
        <v>8</v>
      </c>
      <c r="U68" s="371"/>
      <c r="V68" s="373"/>
      <c r="W68" s="373">
        <f>+'[16]Resumen Modelo'!G58</f>
        <v>2.3199999999999998</v>
      </c>
      <c r="X68" s="373">
        <f>+'[16]Resumen Modelo'!H58</f>
        <v>1.36</v>
      </c>
      <c r="Y68" s="373">
        <f>+'[16]Resumen Modelo'!I58</f>
        <v>1.35</v>
      </c>
      <c r="Z68" s="373">
        <f>+'[16]Resumen Modelo'!J58</f>
        <v>1.74</v>
      </c>
      <c r="AA68" s="373">
        <f>+'[16]Resumen Modelo'!K58</f>
        <v>1.35</v>
      </c>
      <c r="AB68" s="373">
        <f>+'[16]Resumen Modelo'!L58</f>
        <v>1.35</v>
      </c>
      <c r="AC68" s="373">
        <f>+'[16]Resumen Modelo'!M58</f>
        <v>1.72</v>
      </c>
      <c r="AD68" s="373">
        <f>+'[16]Resumen Modelo'!N58</f>
        <v>2.0699999999999998</v>
      </c>
      <c r="AE68" s="373">
        <f>+'[16]Resumen Modelo'!O58</f>
        <v>1.32</v>
      </c>
      <c r="AF68" s="373">
        <f>+'[16]Resumen Modelo'!P58</f>
        <v>1.34</v>
      </c>
      <c r="AG68" s="373">
        <f>+'[16]Resumen Modelo'!Q58</f>
        <v>2.4</v>
      </c>
      <c r="AH68" s="373">
        <f>+'[16]Resumen Modelo'!R58</f>
        <v>1.37</v>
      </c>
      <c r="AI68" s="373">
        <f>SUM(AI69:AI71)</f>
        <v>2.4</v>
      </c>
      <c r="AJ68" s="337" t="str">
        <f>IFERROR(VLOOKUP($V60,#REF!,4,FALSE)," ")</f>
        <v xml:space="preserve"> </v>
      </c>
      <c r="AK68" s="337" t="str">
        <f>IFERROR(VLOOKUP($V60,#REF!,5,FALSE)," ")</f>
        <v xml:space="preserve"> </v>
      </c>
    </row>
    <row r="69" spans="1:37" ht="15" customHeight="1" x14ac:dyDescent="0.25">
      <c r="A69" s="80" t="s">
        <v>103</v>
      </c>
      <c r="B69" s="338"/>
      <c r="C69" s="81">
        <v>6380</v>
      </c>
      <c r="D69" s="82">
        <v>4</v>
      </c>
      <c r="E69" s="363">
        <v>4</v>
      </c>
      <c r="F69" s="363">
        <v>4</v>
      </c>
      <c r="G69" s="363">
        <v>4</v>
      </c>
      <c r="H69" s="363">
        <v>4</v>
      </c>
      <c r="I69" s="363">
        <v>4</v>
      </c>
      <c r="J69" s="363">
        <v>4</v>
      </c>
      <c r="K69" s="363">
        <v>4</v>
      </c>
      <c r="L69" s="363">
        <v>4</v>
      </c>
      <c r="M69" s="363">
        <v>4</v>
      </c>
      <c r="N69" s="363">
        <v>4</v>
      </c>
      <c r="O69" s="363">
        <v>4</v>
      </c>
      <c r="P69" s="363">
        <v>4</v>
      </c>
      <c r="Q69" s="83">
        <v>0</v>
      </c>
      <c r="R69" s="96" t="str">
        <f>IFERROR(VLOOKUP($C69,[15]Nod!$A$3:$E$992,4,FALSE)," ")</f>
        <v>BOQIII230</v>
      </c>
      <c r="S69" s="96">
        <f>IFERROR(VLOOKUP($C69,[15]Nod!$A$3:$E$992,5,FALSE)," ")</f>
        <v>4</v>
      </c>
      <c r="T69" s="364" t="s">
        <v>77</v>
      </c>
      <c r="U69" s="338"/>
      <c r="V69" s="81"/>
      <c r="W69" s="363"/>
      <c r="X69" s="363"/>
      <c r="Y69" s="363"/>
      <c r="Z69" s="363"/>
      <c r="AA69" s="363"/>
      <c r="AB69" s="363"/>
      <c r="AC69" s="363"/>
      <c r="AD69" s="363"/>
      <c r="AE69" s="363"/>
      <c r="AF69" s="363"/>
      <c r="AG69" s="363"/>
      <c r="AH69" s="363"/>
      <c r="AI69" s="380"/>
      <c r="AJ69" s="337" t="str">
        <f>IFERROR(VLOOKUP($V61,#REF!,4,FALSE)," ")</f>
        <v xml:space="preserve"> </v>
      </c>
      <c r="AK69" s="337" t="str">
        <f>IFERROR(VLOOKUP($V61,#REF!,5,FALSE)," ")</f>
        <v xml:space="preserve"> </v>
      </c>
    </row>
    <row r="70" spans="1:37" ht="15" customHeight="1" x14ac:dyDescent="0.25">
      <c r="A70" s="80" t="s">
        <v>104</v>
      </c>
      <c r="B70" s="338"/>
      <c r="C70" s="81">
        <v>6182</v>
      </c>
      <c r="D70" s="82">
        <v>69.48</v>
      </c>
      <c r="E70" s="363">
        <v>69.48</v>
      </c>
      <c r="F70" s="363">
        <v>69.48</v>
      </c>
      <c r="G70" s="363">
        <v>69.48</v>
      </c>
      <c r="H70" s="363">
        <v>69.48</v>
      </c>
      <c r="I70" s="363">
        <v>69.48</v>
      </c>
      <c r="J70" s="363">
        <v>69.48</v>
      </c>
      <c r="K70" s="363">
        <v>69.48</v>
      </c>
      <c r="L70" s="363">
        <v>69.48</v>
      </c>
      <c r="M70" s="363">
        <v>69.48</v>
      </c>
      <c r="N70" s="363">
        <v>69.48</v>
      </c>
      <c r="O70" s="363">
        <v>69.48</v>
      </c>
      <c r="P70" s="363">
        <v>69.48</v>
      </c>
      <c r="Q70" s="83">
        <v>0</v>
      </c>
      <c r="R70" s="96" t="str">
        <f>IFERROR(VLOOKUP($C70,[15]Nod!$A$3:$E$992,4,FALSE)," ")</f>
        <v>VEL230</v>
      </c>
      <c r="S70" s="96">
        <f>IFERROR(VLOOKUP($C70,[15]Nod!$A$3:$E$992,5,FALSE)," ")</f>
        <v>4</v>
      </c>
      <c r="T70" s="394" t="s">
        <v>107</v>
      </c>
      <c r="U70" s="338"/>
      <c r="V70" s="81">
        <v>6100</v>
      </c>
      <c r="W70" s="363">
        <f>+'[16]Resumen Modelo'!G60</f>
        <v>2.3199999999999998</v>
      </c>
      <c r="X70" s="363">
        <f>+'[16]Resumen Modelo'!H60</f>
        <v>1.36</v>
      </c>
      <c r="Y70" s="363">
        <f>+'[16]Resumen Modelo'!I60</f>
        <v>1.35</v>
      </c>
      <c r="Z70" s="363">
        <f>+'[16]Resumen Modelo'!J60</f>
        <v>1.74</v>
      </c>
      <c r="AA70" s="363">
        <f>+'[16]Resumen Modelo'!K60</f>
        <v>1.35</v>
      </c>
      <c r="AB70" s="363">
        <f>+'[16]Resumen Modelo'!L60</f>
        <v>1.35</v>
      </c>
      <c r="AC70" s="363">
        <f>+'[16]Resumen Modelo'!M60</f>
        <v>1.72</v>
      </c>
      <c r="AD70" s="363">
        <f>+'[16]Resumen Modelo'!N60</f>
        <v>2.0699999999999998</v>
      </c>
      <c r="AE70" s="363">
        <f>+'[16]Resumen Modelo'!O60</f>
        <v>1.32</v>
      </c>
      <c r="AF70" s="363">
        <f>+'[16]Resumen Modelo'!P60</f>
        <v>1.34</v>
      </c>
      <c r="AG70" s="363">
        <f>+'[16]Resumen Modelo'!Q60</f>
        <v>2.4</v>
      </c>
      <c r="AH70" s="363">
        <f>+'[16]Resumen Modelo'!R60</f>
        <v>1.37</v>
      </c>
      <c r="AI70" s="380">
        <f>+MAX(W70:AH70)</f>
        <v>2.4</v>
      </c>
      <c r="AJ70" s="337"/>
      <c r="AK70" s="337"/>
    </row>
    <row r="71" spans="1:37" ht="15" customHeight="1" x14ac:dyDescent="0.25">
      <c r="A71" s="80" t="s">
        <v>105</v>
      </c>
      <c r="B71" s="395"/>
      <c r="C71" s="396">
        <v>6380</v>
      </c>
      <c r="D71" s="86">
        <v>6.3</v>
      </c>
      <c r="E71" s="363">
        <v>6.3</v>
      </c>
      <c r="F71" s="363">
        <v>6.3</v>
      </c>
      <c r="G71" s="363">
        <v>6.3</v>
      </c>
      <c r="H71" s="363">
        <v>6.3</v>
      </c>
      <c r="I71" s="363">
        <v>6.3</v>
      </c>
      <c r="J71" s="363">
        <v>6.3</v>
      </c>
      <c r="K71" s="363">
        <v>6.3</v>
      </c>
      <c r="L71" s="363">
        <v>6.3</v>
      </c>
      <c r="M71" s="363">
        <v>6.3</v>
      </c>
      <c r="N71" s="363">
        <v>6.3</v>
      </c>
      <c r="O71" s="363">
        <v>6.3</v>
      </c>
      <c r="P71" s="363">
        <v>6.3</v>
      </c>
      <c r="Q71" s="397">
        <v>0</v>
      </c>
      <c r="R71" s="96" t="str">
        <f>IFERROR(VLOOKUP($C71,[15]Nod!$A$3:$E$992,4,FALSE)," ")</f>
        <v>BOQIII230</v>
      </c>
      <c r="S71" s="96">
        <f>IFERROR(VLOOKUP($C71,[15]Nod!$A$3:$E$992,5,FALSE)," ")</f>
        <v>4</v>
      </c>
      <c r="T71" s="366" t="s">
        <v>37</v>
      </c>
      <c r="U71" s="367"/>
      <c r="V71" s="368"/>
      <c r="W71" s="363"/>
      <c r="X71" s="363"/>
      <c r="Y71" s="363"/>
      <c r="Z71" s="363"/>
      <c r="AA71" s="363"/>
      <c r="AB71" s="363"/>
      <c r="AC71" s="363"/>
      <c r="AD71" s="363"/>
      <c r="AE71" s="363"/>
      <c r="AF71" s="363"/>
      <c r="AG71" s="363"/>
      <c r="AH71" s="363"/>
      <c r="AI71" s="387"/>
      <c r="AJ71" s="337"/>
      <c r="AK71" s="337"/>
    </row>
    <row r="72" spans="1:37" ht="15" customHeight="1" x14ac:dyDescent="0.25">
      <c r="A72" s="80" t="s">
        <v>106</v>
      </c>
      <c r="B72" s="395"/>
      <c r="C72" s="396">
        <v>6013</v>
      </c>
      <c r="D72" s="86">
        <v>8.89</v>
      </c>
      <c r="E72" s="363">
        <v>8.89</v>
      </c>
      <c r="F72" s="363">
        <v>8.89</v>
      </c>
      <c r="G72" s="363">
        <v>8.89</v>
      </c>
      <c r="H72" s="363">
        <v>8.89</v>
      </c>
      <c r="I72" s="363">
        <v>8.89</v>
      </c>
      <c r="J72" s="363">
        <v>8.89</v>
      </c>
      <c r="K72" s="363">
        <v>8.89</v>
      </c>
      <c r="L72" s="363">
        <v>8.89</v>
      </c>
      <c r="M72" s="363">
        <v>8.89</v>
      </c>
      <c r="N72" s="363">
        <v>8.89</v>
      </c>
      <c r="O72" s="363">
        <v>8.89</v>
      </c>
      <c r="P72" s="363">
        <v>8.89</v>
      </c>
      <c r="Q72" s="397">
        <v>0</v>
      </c>
      <c r="R72" s="96" t="str">
        <f>IFERROR(VLOOKUP($C72,[15]Nod!$A$3:$E$992,4,FALSE)," ")</f>
        <v>MDN34</v>
      </c>
      <c r="S72" s="96">
        <f>IFERROR(VLOOKUP($C72,[15]Nod!$A$3:$E$992,5,FALSE)," ")</f>
        <v>4</v>
      </c>
      <c r="T72" s="379">
        <v>9</v>
      </c>
      <c r="U72" s="357"/>
      <c r="V72" s="358"/>
      <c r="W72" s="375">
        <f>+'[16]Resumen Modelo'!G62</f>
        <v>112.58</v>
      </c>
      <c r="X72" s="375">
        <f>+'[16]Resumen Modelo'!H62</f>
        <v>109.72</v>
      </c>
      <c r="Y72" s="375">
        <f>+'[16]Resumen Modelo'!I62</f>
        <v>109.72</v>
      </c>
      <c r="Z72" s="375">
        <f>+'[16]Resumen Modelo'!J62</f>
        <v>110.95</v>
      </c>
      <c r="AA72" s="375">
        <f>+'[16]Resumen Modelo'!K62</f>
        <v>108.10250000000001</v>
      </c>
      <c r="AB72" s="375">
        <f>+'[16]Resumen Modelo'!L62</f>
        <v>110.65</v>
      </c>
      <c r="AC72" s="375">
        <f>+'[16]Resumen Modelo'!M62</f>
        <v>108.22999999999999</v>
      </c>
      <c r="AD72" s="375">
        <f>+'[16]Resumen Modelo'!N62</f>
        <v>127.31</v>
      </c>
      <c r="AE72" s="375">
        <f>+'[16]Resumen Modelo'!O62</f>
        <v>112.34</v>
      </c>
      <c r="AF72" s="375">
        <f>+'[16]Resumen Modelo'!P62</f>
        <v>116.14</v>
      </c>
      <c r="AG72" s="375">
        <f>+'[16]Resumen Modelo'!Q62</f>
        <v>117.43</v>
      </c>
      <c r="AH72" s="375">
        <f>+'[16]Resumen Modelo'!R62</f>
        <v>111.28</v>
      </c>
      <c r="AI72" s="375">
        <f>SUM(AI73:AI79)</f>
        <v>129.75</v>
      </c>
      <c r="AJ72" s="337" t="str">
        <f>IFERROR(VLOOKUP(#REF!,#REF!,4,FALSE)," ")</f>
        <v xml:space="preserve"> </v>
      </c>
      <c r="AK72" s="337" t="str">
        <f>IFERROR(VLOOKUP(#REF!,#REF!,5,FALSE)," ")</f>
        <v xml:space="preserve"> </v>
      </c>
    </row>
    <row r="73" spans="1:37" ht="15" customHeight="1" x14ac:dyDescent="0.25">
      <c r="A73" s="80" t="s">
        <v>108</v>
      </c>
      <c r="B73" s="338"/>
      <c r="C73" s="393">
        <v>6013</v>
      </c>
      <c r="D73" s="82">
        <v>9</v>
      </c>
      <c r="E73" s="363">
        <v>0</v>
      </c>
      <c r="F73" s="363">
        <v>0</v>
      </c>
      <c r="G73" s="363">
        <v>0</v>
      </c>
      <c r="H73" s="363">
        <v>0</v>
      </c>
      <c r="I73" s="363">
        <v>0</v>
      </c>
      <c r="J73" s="363">
        <v>0</v>
      </c>
      <c r="K73" s="363">
        <v>0</v>
      </c>
      <c r="L73" s="363">
        <v>0</v>
      </c>
      <c r="M73" s="363">
        <v>0</v>
      </c>
      <c r="N73" s="363">
        <v>0</v>
      </c>
      <c r="O73" s="363">
        <v>0</v>
      </c>
      <c r="P73" s="363">
        <v>0</v>
      </c>
      <c r="Q73" s="83">
        <v>13</v>
      </c>
      <c r="R73" s="96" t="str">
        <f>IFERROR(VLOOKUP($C73,[15]Nod!$A$3:$E$992,4,FALSE)," ")</f>
        <v>MDN34</v>
      </c>
      <c r="S73" s="96">
        <f>IFERROR(VLOOKUP($C73,[15]Nod!$A$3:$E$992,5,FALSE)," ")</f>
        <v>4</v>
      </c>
      <c r="T73" s="364" t="s">
        <v>77</v>
      </c>
      <c r="U73" s="338"/>
      <c r="V73" s="81"/>
      <c r="W73" s="363"/>
      <c r="X73" s="363"/>
      <c r="Y73" s="363"/>
      <c r="Z73" s="363"/>
      <c r="AA73" s="363"/>
      <c r="AB73" s="363"/>
      <c r="AC73" s="363"/>
      <c r="AD73" s="363"/>
      <c r="AE73" s="363"/>
      <c r="AF73" s="363"/>
      <c r="AG73" s="363"/>
      <c r="AH73" s="363"/>
      <c r="AI73" s="380"/>
      <c r="AJ73" s="337" t="str">
        <f>IFERROR(VLOOKUP($V63,#REF!,4,FALSE)," ")</f>
        <v xml:space="preserve"> </v>
      </c>
      <c r="AK73" s="337" t="str">
        <f>IFERROR(VLOOKUP($V63,#REF!,5,FALSE)," ")</f>
        <v xml:space="preserve"> </v>
      </c>
    </row>
    <row r="74" spans="1:37" ht="15" customHeight="1" x14ac:dyDescent="0.25">
      <c r="A74" s="80" t="s">
        <v>109</v>
      </c>
      <c r="B74" s="338"/>
      <c r="C74" s="393">
        <v>6520</v>
      </c>
      <c r="D74" s="86">
        <v>19.87</v>
      </c>
      <c r="E74" s="363">
        <v>19.87</v>
      </c>
      <c r="F74" s="363">
        <v>19.87</v>
      </c>
      <c r="G74" s="363">
        <v>19.87</v>
      </c>
      <c r="H74" s="363">
        <v>19.87</v>
      </c>
      <c r="I74" s="363">
        <v>19.87</v>
      </c>
      <c r="J74" s="363">
        <v>19.87</v>
      </c>
      <c r="K74" s="363">
        <v>19.87</v>
      </c>
      <c r="L74" s="363">
        <v>19.87</v>
      </c>
      <c r="M74" s="363">
        <v>19.87</v>
      </c>
      <c r="N74" s="363">
        <v>19.87</v>
      </c>
      <c r="O74" s="363">
        <v>19.87</v>
      </c>
      <c r="P74" s="363">
        <v>19.87</v>
      </c>
      <c r="Q74" s="83">
        <v>0</v>
      </c>
      <c r="R74" s="96" t="str">
        <f>IFERROR(VLOOKUP($C74,[15]Nod!$A$3:$E$992,4,FALSE)," ")</f>
        <v>SBA34</v>
      </c>
      <c r="S74" s="96">
        <f>IFERROR(VLOOKUP($C74,[15]Nod!$A$3:$E$992,5,FALSE)," ")</f>
        <v>4</v>
      </c>
      <c r="T74" s="365" t="s">
        <v>112</v>
      </c>
      <c r="U74" s="338"/>
      <c r="V74" s="81">
        <v>6059</v>
      </c>
      <c r="W74" s="363">
        <f>+'[16]Resumen Modelo'!G64</f>
        <v>105.24</v>
      </c>
      <c r="X74" s="363">
        <f>+'[16]Resumen Modelo'!H64</f>
        <v>102.5</v>
      </c>
      <c r="Y74" s="363">
        <f>+'[16]Resumen Modelo'!I64</f>
        <v>102.27</v>
      </c>
      <c r="Z74" s="363">
        <f>+'[16]Resumen Modelo'!J64</f>
        <v>104.48</v>
      </c>
      <c r="AA74" s="363">
        <f>+'[16]Resumen Modelo'!K64</f>
        <v>103.6225</v>
      </c>
      <c r="AB74" s="363">
        <f>+'[16]Resumen Modelo'!L64</f>
        <v>103.58</v>
      </c>
      <c r="AC74" s="363">
        <f>+'[16]Resumen Modelo'!M64</f>
        <v>101.58</v>
      </c>
      <c r="AD74" s="363">
        <f>+'[16]Resumen Modelo'!N64</f>
        <v>122.29</v>
      </c>
      <c r="AE74" s="363">
        <f>+'[16]Resumen Modelo'!O64</f>
        <v>104.98</v>
      </c>
      <c r="AF74" s="363">
        <f>+'[16]Resumen Modelo'!P64</f>
        <v>108.85</v>
      </c>
      <c r="AG74" s="363">
        <f>+'[16]Resumen Modelo'!Q64</f>
        <v>110.17</v>
      </c>
      <c r="AH74" s="363">
        <f>+'[16]Resumen Modelo'!R64</f>
        <v>103.91</v>
      </c>
      <c r="AI74" s="380">
        <f>+MAX(W74:AH74)</f>
        <v>122.29</v>
      </c>
      <c r="AJ74" s="337" t="str">
        <f>IFERROR(VLOOKUP($V64,#REF!,4,FALSE)," ")</f>
        <v xml:space="preserve"> </v>
      </c>
      <c r="AK74" s="337" t="str">
        <f>IFERROR(VLOOKUP($V64,#REF!,5,FALSE)," ")</f>
        <v xml:space="preserve"> </v>
      </c>
    </row>
    <row r="75" spans="1:37" ht="15" customHeight="1" x14ac:dyDescent="0.25">
      <c r="A75" s="80" t="s">
        <v>110</v>
      </c>
      <c r="B75" s="338"/>
      <c r="C75" s="393">
        <v>6550</v>
      </c>
      <c r="D75" s="87">
        <v>28.56</v>
      </c>
      <c r="E75" s="363">
        <v>28.56</v>
      </c>
      <c r="F75" s="363">
        <v>28.56</v>
      </c>
      <c r="G75" s="363">
        <v>28.56</v>
      </c>
      <c r="H75" s="363">
        <v>28.56</v>
      </c>
      <c r="I75" s="363">
        <v>28.56</v>
      </c>
      <c r="J75" s="363">
        <v>28.56</v>
      </c>
      <c r="K75" s="363">
        <v>28.56</v>
      </c>
      <c r="L75" s="363">
        <v>28.56</v>
      </c>
      <c r="M75" s="363">
        <v>28.56</v>
      </c>
      <c r="N75" s="363">
        <v>28.56</v>
      </c>
      <c r="O75" s="363">
        <v>28.56</v>
      </c>
      <c r="P75" s="363">
        <v>28.56</v>
      </c>
      <c r="Q75" s="83">
        <v>0</v>
      </c>
      <c r="R75" s="96" t="str">
        <f>IFERROR(VLOOKUP($C75,[15]Nod!$A$3:$E$992,4,FALSE)," ")</f>
        <v>BEV230</v>
      </c>
      <c r="S75" s="96">
        <f>IFERROR(VLOOKUP($C75,[15]Nod!$A$3:$E$992,5,FALSE)," ")</f>
        <v>4</v>
      </c>
      <c r="T75" s="364" t="s">
        <v>57</v>
      </c>
      <c r="U75" s="338"/>
      <c r="V75" s="81"/>
      <c r="W75" s="363"/>
      <c r="X75" s="363"/>
      <c r="Y75" s="363"/>
      <c r="Z75" s="363"/>
      <c r="AA75" s="363"/>
      <c r="AB75" s="363"/>
      <c r="AC75" s="363"/>
      <c r="AD75" s="363"/>
      <c r="AE75" s="363"/>
      <c r="AF75" s="363"/>
      <c r="AG75" s="363"/>
      <c r="AH75" s="363"/>
      <c r="AI75" s="380"/>
      <c r="AJ75" s="337" t="str">
        <f>IFERROR(VLOOKUP($V65,#REF!,4,FALSE)," ")</f>
        <v xml:space="preserve"> </v>
      </c>
      <c r="AK75" s="337" t="str">
        <f>IFERROR(VLOOKUP($V65,#REF!,5,FALSE)," ")</f>
        <v xml:space="preserve"> </v>
      </c>
    </row>
    <row r="76" spans="1:37" ht="15" customHeight="1" x14ac:dyDescent="0.25">
      <c r="A76" s="490" t="s">
        <v>393</v>
      </c>
      <c r="B76" s="338"/>
      <c r="C76" s="81">
        <v>6380</v>
      </c>
      <c r="D76" s="82"/>
      <c r="E76" s="363"/>
      <c r="F76" s="363"/>
      <c r="G76" s="363"/>
      <c r="H76" s="363"/>
      <c r="I76" s="363"/>
      <c r="J76" s="363"/>
      <c r="K76" s="491">
        <v>21.953793000000001</v>
      </c>
      <c r="L76" s="491">
        <v>21.438711000000001</v>
      </c>
      <c r="M76" s="491">
        <v>16.869710999999999</v>
      </c>
      <c r="N76" s="491">
        <v>18.268872999999999</v>
      </c>
      <c r="O76" s="363"/>
      <c r="P76" s="363"/>
      <c r="Q76" s="83"/>
      <c r="R76" s="96" t="str">
        <f>IFERROR(VLOOKUP($C76,[15]Nod!$A$3:$E$992,4,FALSE)," ")</f>
        <v>BOQIII230</v>
      </c>
      <c r="S76" s="96">
        <f>IFERROR(VLOOKUP($C76,[15]Nod!$A$3:$E$992,5,FALSE)," ")</f>
        <v>4</v>
      </c>
      <c r="T76" s="365" t="s">
        <v>115</v>
      </c>
      <c r="U76" s="338"/>
      <c r="V76" s="81">
        <v>6170</v>
      </c>
      <c r="W76" s="363">
        <f>+'[16]Resumen Modelo'!G66</f>
        <v>7.07</v>
      </c>
      <c r="X76" s="363">
        <f>+'[16]Resumen Modelo'!H66</f>
        <v>6.94</v>
      </c>
      <c r="Y76" s="363">
        <f>+'[16]Resumen Modelo'!I66</f>
        <v>7.17</v>
      </c>
      <c r="Z76" s="363">
        <f>+'[16]Resumen Modelo'!J66</f>
        <v>6.18</v>
      </c>
      <c r="AA76" s="363">
        <f>+'[16]Resumen Modelo'!K66</f>
        <v>4.1900000000000004</v>
      </c>
      <c r="AB76" s="363">
        <f>+'[16]Resumen Modelo'!L66</f>
        <v>6.78</v>
      </c>
      <c r="AC76" s="363">
        <f>+'[16]Resumen Modelo'!M66</f>
        <v>6.38</v>
      </c>
      <c r="AD76" s="363">
        <f>+'[16]Resumen Modelo'!N66</f>
        <v>4.74</v>
      </c>
      <c r="AE76" s="363">
        <f>+'[16]Resumen Modelo'!O66</f>
        <v>7.08</v>
      </c>
      <c r="AF76" s="363">
        <f>+'[16]Resumen Modelo'!P66</f>
        <v>7.01</v>
      </c>
      <c r="AG76" s="363">
        <f>+'[16]Resumen Modelo'!Q66</f>
        <v>6.97</v>
      </c>
      <c r="AH76" s="363">
        <f>+'[16]Resumen Modelo'!R66</f>
        <v>7.08</v>
      </c>
      <c r="AI76" s="380">
        <f>+MAX(W76:AH76)</f>
        <v>7.17</v>
      </c>
      <c r="AJ76" s="337"/>
      <c r="AK76" s="337"/>
    </row>
    <row r="77" spans="1:37" ht="15" customHeight="1" x14ac:dyDescent="0.25">
      <c r="A77" s="80" t="s">
        <v>111</v>
      </c>
      <c r="B77" s="338"/>
      <c r="C77" s="81">
        <v>6380</v>
      </c>
      <c r="D77" s="82"/>
      <c r="E77" s="363"/>
      <c r="F77" s="363"/>
      <c r="G77" s="363"/>
      <c r="H77" s="363"/>
      <c r="I77" s="363"/>
      <c r="J77" s="363"/>
      <c r="K77" s="363"/>
      <c r="L77" s="363"/>
      <c r="M77" s="363"/>
      <c r="N77" s="363"/>
      <c r="O77" s="363"/>
      <c r="P77" s="363"/>
      <c r="Q77" s="83"/>
      <c r="R77" s="96" t="str">
        <f>IFERROR(VLOOKUP($C77,[15]Nod!$A$3:$E$992,4,FALSE)," ")</f>
        <v>BOQIII230</v>
      </c>
      <c r="S77" s="96">
        <f>IFERROR(VLOOKUP($C77,[15]Nod!$A$3:$E$992,5,FALSE)," ")</f>
        <v>4</v>
      </c>
      <c r="T77" s="365" t="s">
        <v>59</v>
      </c>
      <c r="U77" s="338"/>
      <c r="V77" s="81">
        <v>6059</v>
      </c>
      <c r="W77" s="363">
        <f>+'[16]Resumen Modelo'!G67</f>
        <v>0.27</v>
      </c>
      <c r="X77" s="363">
        <f>+'[16]Resumen Modelo'!H67</f>
        <v>0.28000000000000003</v>
      </c>
      <c r="Y77" s="363">
        <f>+'[16]Resumen Modelo'!I67</f>
        <v>0.28000000000000003</v>
      </c>
      <c r="Z77" s="363">
        <f>+'[16]Resumen Modelo'!J67</f>
        <v>0.28999999999999998</v>
      </c>
      <c r="AA77" s="363">
        <f>+'[16]Resumen Modelo'!K67</f>
        <v>0.28999999999999998</v>
      </c>
      <c r="AB77" s="363">
        <f>+'[16]Resumen Modelo'!L67</f>
        <v>0.28999999999999998</v>
      </c>
      <c r="AC77" s="363">
        <f>+'[16]Resumen Modelo'!M67</f>
        <v>0.27</v>
      </c>
      <c r="AD77" s="363">
        <f>+'[16]Resumen Modelo'!N67</f>
        <v>0.28000000000000003</v>
      </c>
      <c r="AE77" s="363">
        <f>+'[16]Resumen Modelo'!O67</f>
        <v>0.28000000000000003</v>
      </c>
      <c r="AF77" s="363">
        <f>+'[16]Resumen Modelo'!P67</f>
        <v>0.28000000000000003</v>
      </c>
      <c r="AG77" s="363">
        <f>+'[16]Resumen Modelo'!Q67</f>
        <v>0.28999999999999998</v>
      </c>
      <c r="AH77" s="363">
        <f>+'[16]Resumen Modelo'!R67</f>
        <v>0.28999999999999998</v>
      </c>
      <c r="AI77" s="380">
        <f>+MAX(W77:AH77)</f>
        <v>0.28999999999999998</v>
      </c>
      <c r="AJ77" s="337" t="str">
        <f>IFERROR(VLOOKUP($V66,#REF!,4,FALSE)," ")</f>
        <v xml:space="preserve"> </v>
      </c>
      <c r="AK77" s="337" t="str">
        <f>IFERROR(VLOOKUP($V66,#REF!,5,FALSE)," ")</f>
        <v xml:space="preserve"> </v>
      </c>
    </row>
    <row r="78" spans="1:37" ht="15" customHeight="1" x14ac:dyDescent="0.25">
      <c r="A78" s="80" t="s">
        <v>113</v>
      </c>
      <c r="B78" s="338"/>
      <c r="C78" s="81">
        <v>6380</v>
      </c>
      <c r="D78" s="82">
        <v>7.62</v>
      </c>
      <c r="E78" s="363">
        <v>7.62</v>
      </c>
      <c r="F78" s="363">
        <v>7.62</v>
      </c>
      <c r="G78" s="363">
        <v>7.62</v>
      </c>
      <c r="H78" s="363">
        <v>7.62</v>
      </c>
      <c r="I78" s="363">
        <v>7.62</v>
      </c>
      <c r="J78" s="363">
        <v>7.62</v>
      </c>
      <c r="K78" s="363">
        <v>7.62</v>
      </c>
      <c r="L78" s="363">
        <v>7.62</v>
      </c>
      <c r="M78" s="363">
        <v>7.62</v>
      </c>
      <c r="N78" s="363">
        <v>7.62</v>
      </c>
      <c r="O78" s="363">
        <v>7.62</v>
      </c>
      <c r="P78" s="363">
        <v>7.62</v>
      </c>
      <c r="Q78" s="83">
        <v>0</v>
      </c>
      <c r="R78" s="96" t="str">
        <f>IFERROR(VLOOKUP($C78,[15]Nod!$A$3:$E$992,4,FALSE)," ")</f>
        <v>BOQIII230</v>
      </c>
      <c r="S78" s="96">
        <f>IFERROR(VLOOKUP($C78,[15]Nod!$A$3:$E$992,5,FALSE)," ")</f>
        <v>4</v>
      </c>
      <c r="T78" s="365" t="s">
        <v>118</v>
      </c>
      <c r="U78" s="338"/>
      <c r="V78" s="81">
        <v>6173</v>
      </c>
      <c r="W78" s="363">
        <f>+'[16]Resumen Modelo'!G68</f>
        <v>0</v>
      </c>
      <c r="X78" s="363">
        <f>+'[16]Resumen Modelo'!H68</f>
        <v>0</v>
      </c>
      <c r="Y78" s="363">
        <f>+'[16]Resumen Modelo'!I68</f>
        <v>0</v>
      </c>
      <c r="Z78" s="363">
        <f>+'[16]Resumen Modelo'!J68</f>
        <v>0</v>
      </c>
      <c r="AA78" s="363">
        <f>+'[16]Resumen Modelo'!K68</f>
        <v>0</v>
      </c>
      <c r="AB78" s="363">
        <f>+'[16]Resumen Modelo'!L68</f>
        <v>0</v>
      </c>
      <c r="AC78" s="363">
        <f>+'[16]Resumen Modelo'!M68</f>
        <v>0</v>
      </c>
      <c r="AD78" s="363">
        <f>+'[16]Resumen Modelo'!N68</f>
        <v>0</v>
      </c>
      <c r="AE78" s="363">
        <f>+'[16]Resumen Modelo'!O68</f>
        <v>0</v>
      </c>
      <c r="AF78" s="363">
        <f>+'[16]Resumen Modelo'!P68</f>
        <v>0</v>
      </c>
      <c r="AG78" s="363">
        <f>+'[16]Resumen Modelo'!Q68</f>
        <v>0</v>
      </c>
      <c r="AH78" s="363">
        <f>+'[16]Resumen Modelo'!R68</f>
        <v>0</v>
      </c>
      <c r="AI78" s="380">
        <f>+MAX(W78:AH78)</f>
        <v>0</v>
      </c>
      <c r="AJ78" s="337" t="str">
        <f>IFERROR(VLOOKUP($V67,#REF!,4,FALSE)," ")</f>
        <v xml:space="preserve"> </v>
      </c>
      <c r="AK78" s="337" t="str">
        <f>IFERROR(VLOOKUP($V67,#REF!,5,FALSE)," ")</f>
        <v xml:space="preserve"> </v>
      </c>
    </row>
    <row r="79" spans="1:37" ht="15" customHeight="1" x14ac:dyDescent="0.25">
      <c r="A79" s="80" t="s">
        <v>114</v>
      </c>
      <c r="B79" s="338"/>
      <c r="C79" s="81">
        <v>6380</v>
      </c>
      <c r="D79" s="82"/>
      <c r="E79" s="363"/>
      <c r="F79" s="363"/>
      <c r="G79" s="363"/>
      <c r="H79" s="363"/>
      <c r="I79" s="363"/>
      <c r="J79" s="363"/>
      <c r="K79" s="363"/>
      <c r="L79" s="363"/>
      <c r="M79" s="363"/>
      <c r="N79" s="363"/>
      <c r="O79" s="363"/>
      <c r="P79" s="363"/>
      <c r="Q79" s="83"/>
      <c r="R79" s="96" t="str">
        <f>IFERROR(VLOOKUP($C79,[15]Nod!$A$3:$E$992,4,FALSE)," ")</f>
        <v>BOQIII230</v>
      </c>
      <c r="S79" s="96">
        <f>IFERROR(VLOOKUP($C79,[15]Nod!$A$3:$E$992,5,FALSE)," ")</f>
        <v>4</v>
      </c>
      <c r="T79" s="366" t="s">
        <v>37</v>
      </c>
      <c r="U79" s="367"/>
      <c r="V79" s="368"/>
      <c r="W79" s="363"/>
      <c r="X79" s="363"/>
      <c r="Y79" s="363"/>
      <c r="Z79" s="363"/>
      <c r="AA79" s="363"/>
      <c r="AB79" s="363"/>
      <c r="AC79" s="363"/>
      <c r="AD79" s="363"/>
      <c r="AE79" s="363"/>
      <c r="AF79" s="363"/>
      <c r="AG79" s="363"/>
      <c r="AH79" s="363"/>
      <c r="AI79" s="387"/>
      <c r="AJ79" s="337" t="str">
        <f>IFERROR(VLOOKUP($V68,#REF!,4,FALSE)," ")</f>
        <v xml:space="preserve"> </v>
      </c>
      <c r="AK79" s="337" t="str">
        <f>IFERROR(VLOOKUP($V68,#REF!,5,FALSE)," ")</f>
        <v xml:space="preserve"> </v>
      </c>
    </row>
    <row r="80" spans="1:37" ht="15" customHeight="1" x14ac:dyDescent="0.25">
      <c r="A80" s="80" t="s">
        <v>116</v>
      </c>
      <c r="B80" s="338"/>
      <c r="C80" s="81">
        <v>6380</v>
      </c>
      <c r="D80" s="82"/>
      <c r="E80" s="363"/>
      <c r="F80" s="363"/>
      <c r="G80" s="363"/>
      <c r="H80" s="363"/>
      <c r="I80" s="363"/>
      <c r="J80" s="363"/>
      <c r="K80" s="363"/>
      <c r="L80" s="363"/>
      <c r="M80" s="363"/>
      <c r="N80" s="363"/>
      <c r="O80" s="363"/>
      <c r="P80" s="363"/>
      <c r="Q80" s="83"/>
      <c r="R80" s="96" t="str">
        <f>IFERROR(VLOOKUP($C80,[15]Nod!$A$3:$E$992,4,FALSE)," ")</f>
        <v>BOQIII230</v>
      </c>
      <c r="S80" s="96">
        <f>IFERROR(VLOOKUP($C80,[15]Nod!$A$3:$E$992,5,FALSE)," ")</f>
        <v>4</v>
      </c>
      <c r="T80" s="370">
        <v>10</v>
      </c>
      <c r="U80" s="371"/>
      <c r="V80" s="372"/>
      <c r="W80" s="375">
        <f>+'[16]Resumen Modelo'!G70</f>
        <v>43.45</v>
      </c>
      <c r="X80" s="375">
        <f>+'[16]Resumen Modelo'!H70</f>
        <v>43.75</v>
      </c>
      <c r="Y80" s="375">
        <f>+'[16]Resumen Modelo'!I70</f>
        <v>44.66</v>
      </c>
      <c r="Z80" s="375">
        <f>+'[16]Resumen Modelo'!J70</f>
        <v>44.59</v>
      </c>
      <c r="AA80" s="375">
        <f>+'[16]Resumen Modelo'!K70</f>
        <v>42.88</v>
      </c>
      <c r="AB80" s="375">
        <f>+'[16]Resumen Modelo'!L70</f>
        <v>43.31</v>
      </c>
      <c r="AC80" s="375">
        <f>+'[16]Resumen Modelo'!M70</f>
        <v>41.980000000000004</v>
      </c>
      <c r="AD80" s="375">
        <f>+'[16]Resumen Modelo'!N70</f>
        <v>42.87</v>
      </c>
      <c r="AE80" s="375">
        <f>+'[16]Resumen Modelo'!O70</f>
        <v>43.980000000000004</v>
      </c>
      <c r="AF80" s="375">
        <f>+'[16]Resumen Modelo'!P70</f>
        <v>44.32</v>
      </c>
      <c r="AG80" s="375">
        <f>+'[16]Resumen Modelo'!Q70</f>
        <v>44.58</v>
      </c>
      <c r="AH80" s="375">
        <f>+'[16]Resumen Modelo'!R70</f>
        <v>44.31</v>
      </c>
      <c r="AI80" s="375">
        <f>SUM(AI81:AI84)</f>
        <v>45.04</v>
      </c>
      <c r="AJ80" s="337" t="str">
        <f>IFERROR(VLOOKUP($V69,#REF!,4,FALSE)," ")</f>
        <v xml:space="preserve"> </v>
      </c>
      <c r="AK80" s="337" t="str">
        <f>IFERROR(VLOOKUP($V69,#REF!,5,FALSE)," ")</f>
        <v xml:space="preserve"> </v>
      </c>
    </row>
    <row r="81" spans="1:37" ht="15" customHeight="1" x14ac:dyDescent="0.25">
      <c r="A81" s="88" t="s">
        <v>117</v>
      </c>
      <c r="B81" s="79"/>
      <c r="C81" s="89">
        <v>6013</v>
      </c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5">
        <v>0</v>
      </c>
      <c r="R81" s="96" t="str">
        <f>IFERROR(VLOOKUP($C81,[15]Nod!$A$3:$E$992,4,FALSE)," ")</f>
        <v>MDN34</v>
      </c>
      <c r="S81" s="96">
        <f>IFERROR(VLOOKUP($C81,[15]Nod!$A$3:$E$992,5,FALSE)," ")</f>
        <v>4</v>
      </c>
      <c r="T81" s="364" t="s">
        <v>31</v>
      </c>
      <c r="U81" s="338"/>
      <c r="V81" s="81"/>
      <c r="W81" s="363"/>
      <c r="X81" s="363"/>
      <c r="Y81" s="363"/>
      <c r="Z81" s="363"/>
      <c r="AA81" s="363"/>
      <c r="AB81" s="363"/>
      <c r="AC81" s="363"/>
      <c r="AD81" s="363"/>
      <c r="AE81" s="363"/>
      <c r="AF81" s="363"/>
      <c r="AG81" s="363"/>
      <c r="AH81" s="363"/>
      <c r="AI81" s="380"/>
      <c r="AJ81" s="337"/>
      <c r="AK81" s="337"/>
    </row>
    <row r="82" spans="1:37" ht="15" customHeight="1" x14ac:dyDescent="0.25">
      <c r="A82" s="88" t="s">
        <v>119</v>
      </c>
      <c r="B82" s="79"/>
      <c r="C82" s="89">
        <v>6013</v>
      </c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5">
        <v>0</v>
      </c>
      <c r="R82" s="96" t="str">
        <f>IFERROR(VLOOKUP($C82,[15]Nod!$A$3:$E$992,4,FALSE)," ")</f>
        <v>MDN34</v>
      </c>
      <c r="S82" s="96">
        <f>IFERROR(VLOOKUP($C82,[15]Nod!$A$3:$E$992,5,FALSE)," ")</f>
        <v>4</v>
      </c>
      <c r="T82" s="365" t="s">
        <v>123</v>
      </c>
      <c r="U82" s="338"/>
      <c r="V82" s="81">
        <v>6340</v>
      </c>
      <c r="W82" s="363">
        <f>+'[16]Resumen Modelo'!G72</f>
        <v>26.55</v>
      </c>
      <c r="X82" s="363">
        <f>+'[16]Resumen Modelo'!H72</f>
        <v>26.42</v>
      </c>
      <c r="Y82" s="363">
        <f>+'[16]Resumen Modelo'!I72</f>
        <v>26.42</v>
      </c>
      <c r="Z82" s="363">
        <f>+'[16]Resumen Modelo'!J72</f>
        <v>26.61</v>
      </c>
      <c r="AA82" s="363">
        <f>+'[16]Resumen Modelo'!K72</f>
        <v>26.44</v>
      </c>
      <c r="AB82" s="363">
        <f>+'[16]Resumen Modelo'!L72</f>
        <v>26.8</v>
      </c>
      <c r="AC82" s="363">
        <f>+'[16]Resumen Modelo'!M72</f>
        <v>26.48</v>
      </c>
      <c r="AD82" s="363">
        <f>+'[16]Resumen Modelo'!N72</f>
        <v>26.56</v>
      </c>
      <c r="AE82" s="363">
        <f>+'[16]Resumen Modelo'!O72</f>
        <v>26.56</v>
      </c>
      <c r="AF82" s="363">
        <f>+'[16]Resumen Modelo'!P72</f>
        <v>26.35</v>
      </c>
      <c r="AG82" s="363">
        <f>+'[16]Resumen Modelo'!Q72</f>
        <v>26.4</v>
      </c>
      <c r="AH82" s="363">
        <f>+'[16]Resumen Modelo'!R72</f>
        <v>26.43</v>
      </c>
      <c r="AI82" s="380">
        <f>+MAX(W82:AH82)</f>
        <v>26.8</v>
      </c>
      <c r="AJ82" s="337" t="str">
        <f>IFERROR(VLOOKUP($V70,#REF!,4,FALSE)," ")</f>
        <v xml:space="preserve"> </v>
      </c>
      <c r="AK82" s="337" t="str">
        <f>IFERROR(VLOOKUP($V70,#REF!,5,FALSE)," ")</f>
        <v xml:space="preserve"> </v>
      </c>
    </row>
    <row r="83" spans="1:37" ht="15" customHeight="1" x14ac:dyDescent="0.25">
      <c r="A83" s="88" t="s">
        <v>120</v>
      </c>
      <c r="B83" s="79"/>
      <c r="C83" s="89">
        <v>6013</v>
      </c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5">
        <v>0</v>
      </c>
      <c r="R83" s="96" t="str">
        <f>IFERROR(VLOOKUP($C83,[15]Nod!$A$3:$E$992,4,FALSE)," ")</f>
        <v>MDN34</v>
      </c>
      <c r="S83" s="96">
        <f>IFERROR(VLOOKUP($C83,[15]Nod!$A$3:$E$992,5,FALSE)," ")</f>
        <v>4</v>
      </c>
      <c r="T83" s="365" t="s">
        <v>125</v>
      </c>
      <c r="U83" s="338"/>
      <c r="V83" s="81">
        <v>6262</v>
      </c>
      <c r="W83" s="363">
        <f>+'[16]Resumen Modelo'!G73</f>
        <v>16.899999999999999</v>
      </c>
      <c r="X83" s="363">
        <f>+'[16]Resumen Modelo'!H73</f>
        <v>17.329999999999998</v>
      </c>
      <c r="Y83" s="363">
        <f>+'[16]Resumen Modelo'!I73</f>
        <v>18.239999999999998</v>
      </c>
      <c r="Z83" s="363">
        <f>+'[16]Resumen Modelo'!J73</f>
        <v>17.98</v>
      </c>
      <c r="AA83" s="363">
        <f>+'[16]Resumen Modelo'!K73</f>
        <v>16.440000000000001</v>
      </c>
      <c r="AB83" s="363">
        <f>+'[16]Resumen Modelo'!L73</f>
        <v>16.510000000000002</v>
      </c>
      <c r="AC83" s="363">
        <f>+'[16]Resumen Modelo'!M73</f>
        <v>15.5</v>
      </c>
      <c r="AD83" s="363">
        <f>+'[16]Resumen Modelo'!N73</f>
        <v>16.309999999999999</v>
      </c>
      <c r="AE83" s="363">
        <f>+'[16]Resumen Modelo'!O73</f>
        <v>17.420000000000002</v>
      </c>
      <c r="AF83" s="363">
        <f>+'[16]Resumen Modelo'!P73</f>
        <v>17.97</v>
      </c>
      <c r="AG83" s="363">
        <f>+'[16]Resumen Modelo'!Q73</f>
        <v>18.18</v>
      </c>
      <c r="AH83" s="363">
        <f>+'[16]Resumen Modelo'!R73</f>
        <v>17.88</v>
      </c>
      <c r="AI83" s="380">
        <f>+MAX(W83:AH83)</f>
        <v>18.239999999999998</v>
      </c>
      <c r="AJ83" s="337" t="str">
        <f>IFERROR(VLOOKUP($V71,#REF!,4,FALSE)," ")</f>
        <v xml:space="preserve"> </v>
      </c>
      <c r="AK83" s="337" t="str">
        <f>IFERROR(VLOOKUP($V71,#REF!,5,FALSE)," ")</f>
        <v xml:space="preserve"> </v>
      </c>
    </row>
    <row r="84" spans="1:37" ht="15" customHeight="1" x14ac:dyDescent="0.25">
      <c r="A84" s="88" t="s">
        <v>121</v>
      </c>
      <c r="B84" s="79"/>
      <c r="C84" s="89">
        <v>6013</v>
      </c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5">
        <v>0</v>
      </c>
      <c r="R84" s="96" t="str">
        <f>IFERROR(VLOOKUP($C84,[15]Nod!$A$3:$E$992,4,FALSE)," ")</f>
        <v>MDN34</v>
      </c>
      <c r="S84" s="96">
        <f>IFERROR(VLOOKUP($C84,[15]Nod!$A$3:$E$992,5,FALSE)," ")</f>
        <v>4</v>
      </c>
      <c r="T84" s="366" t="s">
        <v>37</v>
      </c>
      <c r="U84" s="367"/>
      <c r="V84" s="368"/>
      <c r="W84" s="368"/>
      <c r="X84" s="368"/>
      <c r="Y84" s="368"/>
      <c r="Z84" s="368"/>
      <c r="AA84" s="368"/>
      <c r="AB84" s="368"/>
      <c r="AC84" s="368"/>
      <c r="AD84" s="368"/>
      <c r="AE84" s="368"/>
      <c r="AF84" s="368"/>
      <c r="AG84" s="368"/>
      <c r="AH84" s="368"/>
      <c r="AI84" s="387"/>
      <c r="AJ84" s="337" t="str">
        <f>IFERROR(VLOOKUP($V72,#REF!,4,FALSE)," ")</f>
        <v xml:space="preserve"> </v>
      </c>
      <c r="AK84" s="337" t="str">
        <f>IFERROR(VLOOKUP($V72,#REF!,5,FALSE)," ")</f>
        <v xml:space="preserve"> </v>
      </c>
    </row>
    <row r="85" spans="1:37" ht="15" customHeight="1" x14ac:dyDescent="0.25">
      <c r="A85" s="88" t="s">
        <v>122</v>
      </c>
      <c r="B85" s="79"/>
      <c r="C85" s="90">
        <v>6182</v>
      </c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5">
        <v>0</v>
      </c>
      <c r="R85" s="96" t="str">
        <f>IFERROR(VLOOKUP($C85,[15]Nod!$A$3:$E$992,4,FALSE)," ")</f>
        <v>VEL230</v>
      </c>
      <c r="S85" s="96">
        <f>IFERROR(VLOOKUP($C85,[15]Nod!$A$3:$E$992,5,FALSE)," ")</f>
        <v>4</v>
      </c>
      <c r="T85" s="338"/>
      <c r="U85" s="338"/>
      <c r="V85" s="338"/>
      <c r="W85" s="338"/>
      <c r="X85" s="338"/>
      <c r="Y85" s="338"/>
      <c r="Z85" s="338"/>
      <c r="AA85" s="338"/>
      <c r="AB85" s="398"/>
      <c r="AC85" s="338"/>
      <c r="AD85" s="338"/>
      <c r="AE85" s="338"/>
      <c r="AF85" s="338"/>
      <c r="AG85" s="338"/>
      <c r="AH85" s="338"/>
      <c r="AI85" s="338"/>
      <c r="AJ85" s="337" t="str">
        <f>IFERROR(VLOOKUP($V73,#REF!,4,FALSE)," ")</f>
        <v xml:space="preserve"> </v>
      </c>
      <c r="AK85" s="337" t="str">
        <f>IFERROR(VLOOKUP($V73,#REF!,5,FALSE)," ")</f>
        <v xml:space="preserve"> </v>
      </c>
    </row>
    <row r="86" spans="1:37" ht="15" customHeight="1" x14ac:dyDescent="0.25">
      <c r="A86" s="88" t="s">
        <v>124</v>
      </c>
      <c r="B86" s="79"/>
      <c r="C86" s="90">
        <v>6182</v>
      </c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5">
        <v>0</v>
      </c>
      <c r="R86" s="96" t="str">
        <f>IFERROR(VLOOKUP($C86,[15]Nod!$A$3:$E$992,4,FALSE)," ")</f>
        <v>VEL230</v>
      </c>
      <c r="S86" s="96">
        <f>IFERROR(VLOOKUP($C86,[15]Nod!$A$3:$E$992,5,FALSE)," ")</f>
        <v>4</v>
      </c>
      <c r="T86" s="338"/>
      <c r="U86" s="338"/>
      <c r="V86" s="338"/>
      <c r="W86" s="338"/>
      <c r="X86" s="338"/>
      <c r="Y86" s="338"/>
      <c r="Z86" s="338"/>
      <c r="AA86" s="338"/>
      <c r="AB86" s="398"/>
      <c r="AC86" s="338"/>
      <c r="AD86" s="338"/>
      <c r="AE86" s="338"/>
      <c r="AF86" s="338"/>
      <c r="AG86" s="338"/>
      <c r="AH86" s="338"/>
      <c r="AI86" s="338"/>
      <c r="AJ86" s="337" t="str">
        <f>IFERROR(VLOOKUP($V74,#REF!,4,FALSE)," ")</f>
        <v xml:space="preserve"> </v>
      </c>
      <c r="AK86" s="337" t="str">
        <f>IFERROR(VLOOKUP($V74,#REF!,5,FALSE)," ")</f>
        <v xml:space="preserve"> </v>
      </c>
    </row>
    <row r="87" spans="1:37" ht="15" customHeight="1" x14ac:dyDescent="0.25">
      <c r="A87" s="88" t="s">
        <v>126</v>
      </c>
      <c r="B87" s="79"/>
      <c r="C87" s="90">
        <v>6182</v>
      </c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5">
        <v>0</v>
      </c>
      <c r="R87" s="96" t="str">
        <f>IFERROR(VLOOKUP($C87,[15]Nod!$A$3:$E$992,4,FALSE)," ")</f>
        <v>VEL230</v>
      </c>
      <c r="S87" s="96">
        <f>IFERROR(VLOOKUP($C87,[15]Nod!$A$3:$E$992,5,FALSE)," ")</f>
        <v>4</v>
      </c>
      <c r="T87" s="338"/>
      <c r="U87" s="338"/>
      <c r="V87" s="338"/>
      <c r="W87" s="338"/>
      <c r="X87" s="338"/>
      <c r="Y87" s="338"/>
      <c r="Z87" s="338"/>
      <c r="AA87" s="338"/>
      <c r="AB87" s="338"/>
      <c r="AC87" s="338"/>
      <c r="AD87" s="338"/>
      <c r="AE87" s="338"/>
      <c r="AF87" s="338"/>
      <c r="AG87" s="338"/>
      <c r="AH87" s="338"/>
      <c r="AI87" s="338"/>
      <c r="AJ87" s="337" t="str">
        <f>IFERROR(VLOOKUP($V75,#REF!,4,FALSE)," ")</f>
        <v xml:space="preserve"> </v>
      </c>
      <c r="AK87" s="337" t="str">
        <f>IFERROR(VLOOKUP($V75,#REF!,5,FALSE)," ")</f>
        <v xml:space="preserve"> </v>
      </c>
    </row>
    <row r="88" spans="1:37" ht="15" customHeight="1" x14ac:dyDescent="0.25">
      <c r="A88" s="88" t="s">
        <v>127</v>
      </c>
      <c r="B88" s="338"/>
      <c r="C88" s="90">
        <v>6380</v>
      </c>
      <c r="D88" s="82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5"/>
      <c r="R88" s="96" t="str">
        <f>IFERROR(VLOOKUP($C88,[15]Nod!$A$3:$E$992,4,FALSE)," ")</f>
        <v>BOQIII230</v>
      </c>
      <c r="S88" s="96">
        <f>IFERROR(VLOOKUP($C88,[15]Nod!$A$3:$E$992,5,FALSE)," ")</f>
        <v>4</v>
      </c>
      <c r="T88" s="338"/>
      <c r="U88" s="338"/>
      <c r="V88" s="338"/>
      <c r="W88" s="339"/>
      <c r="X88" s="361"/>
      <c r="Y88" s="361"/>
      <c r="Z88" s="338"/>
      <c r="AA88" s="338"/>
      <c r="AB88" s="338"/>
      <c r="AC88" s="338"/>
      <c r="AD88" s="338"/>
      <c r="AE88" s="338"/>
      <c r="AF88" s="338"/>
      <c r="AG88" s="338"/>
      <c r="AH88" s="398"/>
      <c r="AI88" s="338"/>
      <c r="AJ88" s="337" t="str">
        <f>IFERROR(VLOOKUP($V76,#REF!,4,FALSE)," ")</f>
        <v xml:space="preserve"> </v>
      </c>
      <c r="AK88" s="337" t="str">
        <f>IFERROR(VLOOKUP($V76,#REF!,5,FALSE)," ")</f>
        <v xml:space="preserve"> </v>
      </c>
    </row>
    <row r="89" spans="1:37" ht="15" customHeight="1" x14ac:dyDescent="0.25">
      <c r="A89" s="88" t="s">
        <v>128</v>
      </c>
      <c r="B89" s="338"/>
      <c r="C89" s="90">
        <v>6380</v>
      </c>
      <c r="D89" s="82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5"/>
      <c r="R89" s="96" t="str">
        <f>IFERROR(VLOOKUP($C89,[15]Nod!$A$3:$E$992,4,FALSE)," ")</f>
        <v>BOQIII230</v>
      </c>
      <c r="S89" s="96">
        <f>IFERROR(VLOOKUP($C89,[15]Nod!$A$3:$E$992,5,FALSE)," ")</f>
        <v>4</v>
      </c>
      <c r="T89" s="338"/>
      <c r="U89" s="338"/>
      <c r="V89" s="338"/>
      <c r="W89" s="339"/>
      <c r="X89" s="361"/>
      <c r="Y89" s="361"/>
      <c r="Z89" s="338"/>
      <c r="AA89" s="338"/>
      <c r="AB89" s="338"/>
      <c r="AC89" s="338"/>
      <c r="AD89" s="338"/>
      <c r="AE89" s="338"/>
      <c r="AF89" s="338"/>
      <c r="AG89" s="338"/>
      <c r="AH89" s="398"/>
      <c r="AI89" s="338"/>
      <c r="AJ89" s="337" t="str">
        <f>IFERROR(VLOOKUP($V77,#REF!,4,FALSE)," ")</f>
        <v xml:space="preserve"> </v>
      </c>
      <c r="AK89" s="337" t="str">
        <f>IFERROR(VLOOKUP($V77,#REF!,5,FALSE)," ")</f>
        <v xml:space="preserve"> </v>
      </c>
    </row>
    <row r="90" spans="1:37" ht="15" customHeight="1" x14ac:dyDescent="0.3">
      <c r="A90" s="88" t="s">
        <v>129</v>
      </c>
      <c r="B90" s="338"/>
      <c r="C90" s="90">
        <v>6380</v>
      </c>
      <c r="D90" s="82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5"/>
      <c r="R90" s="96" t="str">
        <f>IFERROR(VLOOKUP($C90,[15]Nod!$A$3:$E$992,4,FALSE)," ")</f>
        <v>BOQIII230</v>
      </c>
      <c r="S90" s="96">
        <f>IFERROR(VLOOKUP($C90,[15]Nod!$A$3:$E$992,5,FALSE)," ")</f>
        <v>4</v>
      </c>
      <c r="T90" s="338"/>
      <c r="U90" s="338"/>
      <c r="V90" s="338"/>
      <c r="W90" s="399"/>
      <c r="X90" s="361"/>
      <c r="Y90" s="361"/>
      <c r="Z90" s="338"/>
      <c r="AA90" s="338"/>
      <c r="AB90" s="338"/>
      <c r="AC90" s="338"/>
      <c r="AD90" s="338"/>
      <c r="AE90" s="338"/>
      <c r="AF90" s="338"/>
      <c r="AG90" s="338"/>
      <c r="AH90" s="339"/>
      <c r="AI90" s="338"/>
      <c r="AJ90" s="337" t="str">
        <f>IFERROR(VLOOKUP($V78,#REF!,4,FALSE)," ")</f>
        <v xml:space="preserve"> </v>
      </c>
      <c r="AK90" s="337" t="str">
        <f>IFERROR(VLOOKUP($V78,#REF!,5,FALSE)," ")</f>
        <v xml:space="preserve"> </v>
      </c>
    </row>
    <row r="91" spans="1:37" ht="15" customHeight="1" x14ac:dyDescent="0.3">
      <c r="A91" s="88" t="s">
        <v>130</v>
      </c>
      <c r="B91" s="338"/>
      <c r="C91" s="90">
        <v>6013</v>
      </c>
      <c r="D91" s="82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5"/>
      <c r="R91" s="96" t="str">
        <f>IFERROR(VLOOKUP($C91,[15]Nod!$A$3:$E$992,4,FALSE)," ")</f>
        <v>MDN34</v>
      </c>
      <c r="S91" s="96">
        <f>IFERROR(VLOOKUP($C91,[15]Nod!$A$3:$E$992,5,FALSE)," ")</f>
        <v>4</v>
      </c>
      <c r="T91" s="338"/>
      <c r="U91" s="338"/>
      <c r="V91" s="338"/>
      <c r="W91" s="399"/>
      <c r="X91" s="361"/>
      <c r="Y91" s="361"/>
      <c r="Z91" s="338"/>
      <c r="AA91" s="338"/>
      <c r="AB91" s="338"/>
      <c r="AC91" s="338"/>
      <c r="AD91" s="338"/>
      <c r="AE91" s="338"/>
      <c r="AF91" s="338"/>
      <c r="AG91" s="338"/>
      <c r="AH91" s="339"/>
      <c r="AI91" s="338"/>
      <c r="AJ91" s="337" t="str">
        <f>IFERROR(VLOOKUP($V79,#REF!,4,FALSE)," ")</f>
        <v xml:space="preserve"> </v>
      </c>
      <c r="AK91" s="337" t="str">
        <f>IFERROR(VLOOKUP($V79,#REF!,5,FALSE)," ")</f>
        <v xml:space="preserve"> </v>
      </c>
    </row>
    <row r="92" spans="1:37" ht="15" customHeight="1" x14ac:dyDescent="0.25">
      <c r="A92" s="88" t="s">
        <v>131</v>
      </c>
      <c r="B92" s="338"/>
      <c r="C92" s="90">
        <v>6013</v>
      </c>
      <c r="D92" s="82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5"/>
      <c r="R92" s="96" t="str">
        <f>IFERROR(VLOOKUP($C92,[15]Nod!$A$3:$E$992,4,FALSE)," ")</f>
        <v>MDN34</v>
      </c>
      <c r="S92" s="96">
        <f>IFERROR(VLOOKUP($C92,[15]Nod!$A$3:$E$992,5,FALSE)," ")</f>
        <v>4</v>
      </c>
      <c r="T92" s="338"/>
      <c r="U92" s="338"/>
      <c r="V92" s="338"/>
      <c r="W92" s="338"/>
      <c r="X92" s="361"/>
      <c r="Y92" s="361"/>
      <c r="Z92" s="338"/>
      <c r="AA92" s="338"/>
      <c r="AB92" s="338"/>
      <c r="AC92" s="338"/>
      <c r="AD92" s="338"/>
      <c r="AE92" s="338"/>
      <c r="AF92" s="338"/>
      <c r="AG92" s="338"/>
      <c r="AH92" s="398"/>
      <c r="AI92" s="338"/>
      <c r="AJ92" s="337" t="str">
        <f>IFERROR(VLOOKUP($V80,#REF!,4,FALSE)," ")</f>
        <v xml:space="preserve"> </v>
      </c>
      <c r="AK92" s="337" t="str">
        <f>IFERROR(VLOOKUP($V80,#REF!,5,FALSE)," ")</f>
        <v xml:space="preserve"> </v>
      </c>
    </row>
    <row r="93" spans="1:37" ht="15" customHeight="1" x14ac:dyDescent="0.25">
      <c r="A93" s="88" t="s">
        <v>132</v>
      </c>
      <c r="B93" s="338"/>
      <c r="C93" s="91">
        <v>6013</v>
      </c>
      <c r="D93" s="82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5"/>
      <c r="R93" s="96" t="str">
        <f>IFERROR(VLOOKUP($C93,[15]Nod!$A$3:$E$992,4,FALSE)," ")</f>
        <v>MDN34</v>
      </c>
      <c r="S93" s="96">
        <f>IFERROR(VLOOKUP($C93,[15]Nod!$A$3:$E$992,5,FALSE)," ")</f>
        <v>4</v>
      </c>
      <c r="T93" s="338"/>
      <c r="U93" s="338"/>
      <c r="V93" s="338"/>
      <c r="W93" s="338"/>
      <c r="X93" s="361"/>
      <c r="Y93" s="361"/>
      <c r="Z93" s="338"/>
      <c r="AA93" s="338"/>
      <c r="AB93" s="338"/>
      <c r="AC93" s="338"/>
      <c r="AD93" s="338"/>
      <c r="AE93" s="338"/>
      <c r="AF93" s="338"/>
      <c r="AG93" s="338"/>
      <c r="AH93" s="338"/>
      <c r="AI93" s="338"/>
      <c r="AJ93" s="337" t="str">
        <f>IFERROR(VLOOKUP($V81,#REF!,4,FALSE)," ")</f>
        <v xml:space="preserve"> </v>
      </c>
      <c r="AK93" s="337" t="str">
        <f>IFERROR(VLOOKUP($V81,#REF!,5,FALSE)," ")</f>
        <v xml:space="preserve"> </v>
      </c>
    </row>
    <row r="94" spans="1:37" ht="15" customHeight="1" x14ac:dyDescent="0.25">
      <c r="A94" s="88" t="s">
        <v>133</v>
      </c>
      <c r="B94" s="338"/>
      <c r="C94" s="91">
        <v>6520</v>
      </c>
      <c r="D94" s="82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5"/>
      <c r="R94" s="96" t="str">
        <f>IFERROR(VLOOKUP($C94,[15]Nod!$A$3:$E$992,4,FALSE)," ")</f>
        <v>SBA34</v>
      </c>
      <c r="S94" s="96">
        <f>IFERROR(VLOOKUP($C94,[15]Nod!$A$3:$E$992,5,FALSE)," ")</f>
        <v>4</v>
      </c>
      <c r="T94" s="338"/>
      <c r="U94" s="338"/>
      <c r="V94" s="338"/>
      <c r="W94" s="338"/>
      <c r="X94" s="361"/>
      <c r="Y94" s="361"/>
      <c r="Z94" s="338"/>
      <c r="AA94" s="338"/>
      <c r="AB94" s="338"/>
      <c r="AC94" s="338"/>
      <c r="AD94" s="338"/>
      <c r="AE94" s="338"/>
      <c r="AF94" s="338"/>
      <c r="AG94" s="338"/>
      <c r="AH94" s="338"/>
      <c r="AI94" s="338"/>
      <c r="AJ94" s="337" t="str">
        <f>IFERROR(VLOOKUP($V82,#REF!,4,FALSE)," ")</f>
        <v xml:space="preserve"> </v>
      </c>
      <c r="AK94" s="337" t="str">
        <f>IFERROR(VLOOKUP($V82,#REF!,5,FALSE)," ")</f>
        <v xml:space="preserve"> </v>
      </c>
    </row>
    <row r="95" spans="1:37" ht="15" customHeight="1" x14ac:dyDescent="0.25">
      <c r="A95" s="88" t="s">
        <v>134</v>
      </c>
      <c r="B95" s="338"/>
      <c r="C95" s="91">
        <v>6520</v>
      </c>
      <c r="D95" s="82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5"/>
      <c r="R95" s="96" t="str">
        <f>IFERROR(VLOOKUP($C95,[15]Nod!$A$3:$E$992,4,FALSE)," ")</f>
        <v>SBA34</v>
      </c>
      <c r="S95" s="96">
        <f>IFERROR(VLOOKUP($C95,[15]Nod!$A$3:$E$992,5,FALSE)," ")</f>
        <v>4</v>
      </c>
      <c r="T95" s="338"/>
      <c r="U95" s="338"/>
      <c r="V95" s="338"/>
      <c r="W95" s="338"/>
      <c r="X95" s="361"/>
      <c r="Y95" s="361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7" t="str">
        <f>IFERROR(VLOOKUP($V83,#REF!,4,FALSE)," ")</f>
        <v xml:space="preserve"> </v>
      </c>
      <c r="AK95" s="337" t="str">
        <f>IFERROR(VLOOKUP($V83,#REF!,5,FALSE)," ")</f>
        <v xml:space="preserve"> </v>
      </c>
    </row>
    <row r="96" spans="1:37" ht="15" customHeight="1" x14ac:dyDescent="0.25">
      <c r="A96" s="388" t="s">
        <v>37</v>
      </c>
      <c r="B96" s="367"/>
      <c r="C96" s="368"/>
      <c r="D96" s="389"/>
      <c r="E96" s="389"/>
      <c r="F96" s="389"/>
      <c r="G96" s="389"/>
      <c r="H96" s="389"/>
      <c r="I96" s="389"/>
      <c r="J96" s="389"/>
      <c r="K96" s="389"/>
      <c r="L96" s="389"/>
      <c r="M96" s="389"/>
      <c r="N96" s="389"/>
      <c r="O96" s="389"/>
      <c r="P96" s="389"/>
      <c r="Q96" s="390"/>
      <c r="R96" s="96" t="str">
        <f>IFERROR(VLOOKUP(#REF!,[17]Nod!$A$3:$E$993,4,FALSE)," ")</f>
        <v xml:space="preserve"> </v>
      </c>
      <c r="S96" s="96" t="str">
        <f>IFERROR(VLOOKUP(#REF!,[17]Nod!$A$3:$E$993,5,FALSE)," ")</f>
        <v xml:space="preserve"> </v>
      </c>
      <c r="T96" s="338"/>
      <c r="U96" s="338"/>
      <c r="V96" s="338"/>
      <c r="W96" s="338"/>
      <c r="X96" s="361"/>
      <c r="Y96" s="361"/>
      <c r="Z96" s="338"/>
      <c r="AA96" s="338"/>
      <c r="AB96" s="338"/>
      <c r="AC96" s="338"/>
      <c r="AD96" s="338"/>
      <c r="AE96" s="338"/>
      <c r="AF96" s="338"/>
      <c r="AG96" s="338"/>
      <c r="AH96" s="338"/>
      <c r="AI96" s="338"/>
      <c r="AJ96" s="337" t="str">
        <f>IFERROR(VLOOKUP(#REF!,#REF!,4,FALSE)," ")</f>
        <v xml:space="preserve"> </v>
      </c>
      <c r="AK96" s="337" t="str">
        <f>IFERROR(VLOOKUP(#REF!,#REF!,5,FALSE)," ")</f>
        <v xml:space="preserve"> </v>
      </c>
    </row>
    <row r="97" spans="1:37" ht="15" customHeight="1" x14ac:dyDescent="0.25">
      <c r="A97" s="362">
        <v>5</v>
      </c>
      <c r="B97" s="357"/>
      <c r="C97" s="358"/>
      <c r="D97" s="359">
        <f t="shared" ref="D97:I97" si="14">SUM(D98:D131)</f>
        <v>150.638621</v>
      </c>
      <c r="E97" s="359">
        <f t="shared" si="14"/>
        <v>140.88</v>
      </c>
      <c r="F97" s="359">
        <f t="shared" si="14"/>
        <v>171.1</v>
      </c>
      <c r="G97" s="359">
        <f t="shared" si="14"/>
        <v>134.43</v>
      </c>
      <c r="H97" s="359">
        <f t="shared" si="14"/>
        <v>164.54999999999998</v>
      </c>
      <c r="I97" s="359">
        <f t="shared" si="14"/>
        <v>173.13</v>
      </c>
      <c r="J97" s="373">
        <f t="shared" ref="J97:P97" si="15">SUM(J98:J127)</f>
        <v>15.58</v>
      </c>
      <c r="K97" s="373">
        <f t="shared" si="15"/>
        <v>91.55</v>
      </c>
      <c r="L97" s="373">
        <f t="shared" si="15"/>
        <v>172.47</v>
      </c>
      <c r="M97" s="373">
        <f t="shared" si="15"/>
        <v>207.43</v>
      </c>
      <c r="N97" s="373">
        <f t="shared" si="15"/>
        <v>129.55325200000001</v>
      </c>
      <c r="O97" s="373">
        <f t="shared" si="15"/>
        <v>190.01563200000001</v>
      </c>
      <c r="P97" s="373">
        <f t="shared" si="15"/>
        <v>216.974568</v>
      </c>
      <c r="Q97" s="385"/>
      <c r="R97" s="96" t="str">
        <f>IFERROR(VLOOKUP(#REF!,[17]Nod!$A$3:$E$993,4,FALSE)," ")</f>
        <v xml:space="preserve"> </v>
      </c>
      <c r="S97" s="96" t="str">
        <f>IFERROR(VLOOKUP(#REF!,[17]Nod!$A$3:$E$993,5,FALSE)," ")</f>
        <v xml:space="preserve"> </v>
      </c>
      <c r="T97" s="338"/>
      <c r="U97" s="338"/>
      <c r="V97" s="338"/>
      <c r="W97" s="338"/>
      <c r="X97" s="361"/>
      <c r="Y97" s="361"/>
      <c r="Z97" s="338"/>
      <c r="AA97" s="338"/>
      <c r="AB97" s="338"/>
      <c r="AC97" s="338"/>
      <c r="AD97" s="338"/>
      <c r="AE97" s="338"/>
      <c r="AF97" s="338"/>
      <c r="AG97" s="338"/>
      <c r="AH97" s="338"/>
      <c r="AI97" s="338"/>
      <c r="AJ97" s="337" t="str">
        <f>IFERROR(VLOOKUP($V84,#REF!,4,FALSE)," ")</f>
        <v xml:space="preserve"> </v>
      </c>
      <c r="AK97" s="337" t="str">
        <f>IFERROR(VLOOKUP($V84,#REF!,5,FALSE)," ")</f>
        <v xml:space="preserve"> </v>
      </c>
    </row>
    <row r="98" spans="1:37" ht="15" customHeight="1" x14ac:dyDescent="0.25">
      <c r="A98" s="80" t="s">
        <v>135</v>
      </c>
      <c r="B98" s="338"/>
      <c r="C98" s="393">
        <v>6010</v>
      </c>
      <c r="D98" s="82">
        <v>5.35</v>
      </c>
      <c r="E98" s="363">
        <v>5.35</v>
      </c>
      <c r="F98" s="363">
        <v>5.35</v>
      </c>
      <c r="G98" s="363">
        <v>5.35</v>
      </c>
      <c r="H98" s="363">
        <v>5.35</v>
      </c>
      <c r="I98" s="363">
        <v>5.35</v>
      </c>
      <c r="J98" s="363">
        <v>5.35</v>
      </c>
      <c r="K98" s="363">
        <v>5.35</v>
      </c>
      <c r="L98" s="363">
        <v>5.35</v>
      </c>
      <c r="M98" s="363">
        <v>5.35</v>
      </c>
      <c r="N98" s="363">
        <v>5.35</v>
      </c>
      <c r="O98" s="363">
        <v>5.35</v>
      </c>
      <c r="P98" s="363">
        <v>5.35</v>
      </c>
      <c r="Q98" s="83">
        <v>0</v>
      </c>
      <c r="R98" s="96" t="str">
        <f>IFERROR(VLOOKUP($C98,[15]Nod!$A$3:$E$992,4,FALSE)," ")</f>
        <v>LSA34</v>
      </c>
      <c r="S98" s="96">
        <f>IFERROR(VLOOKUP($C98,[15]Nod!$A$3:$E$992,5,FALSE)," ")</f>
        <v>5</v>
      </c>
      <c r="T98" s="338"/>
      <c r="U98" s="338"/>
      <c r="V98" s="338"/>
      <c r="W98" s="338"/>
      <c r="X98" s="361"/>
      <c r="Y98" s="361"/>
      <c r="Z98" s="338"/>
      <c r="AA98" s="338"/>
      <c r="AB98" s="338"/>
      <c r="AC98" s="338"/>
      <c r="AD98" s="338"/>
      <c r="AE98" s="338"/>
      <c r="AF98" s="338"/>
      <c r="AG98" s="338"/>
      <c r="AH98" s="338"/>
      <c r="AI98" s="338"/>
      <c r="AJ98" s="337" t="str">
        <f>IFERROR(VLOOKUP($V86,#REF!,4,FALSE)," ")</f>
        <v xml:space="preserve"> </v>
      </c>
      <c r="AK98" s="337" t="str">
        <f>IFERROR(VLOOKUP($V86,#REF!,5,FALSE)," ")</f>
        <v xml:space="preserve"> </v>
      </c>
    </row>
    <row r="99" spans="1:37" ht="15" customHeight="1" x14ac:dyDescent="0.25">
      <c r="A99" s="365" t="s">
        <v>136</v>
      </c>
      <c r="B99" s="338"/>
      <c r="C99" s="393">
        <v>6010</v>
      </c>
      <c r="D99" s="82">
        <v>1.31</v>
      </c>
      <c r="E99" s="363">
        <v>1.3100000000000005</v>
      </c>
      <c r="F99" s="363">
        <v>1.3100000000000005</v>
      </c>
      <c r="G99" s="363">
        <v>1.3100000000000005</v>
      </c>
      <c r="H99" s="363">
        <v>1.3100000000000005</v>
      </c>
      <c r="I99" s="363">
        <v>1.3100000000000005</v>
      </c>
      <c r="J99" s="363">
        <v>1.3100000000000005</v>
      </c>
      <c r="K99" s="363">
        <v>1.3100000000000005</v>
      </c>
      <c r="L99" s="363">
        <v>1.3100000000000005</v>
      </c>
      <c r="M99" s="363">
        <v>1.3100000000000005</v>
      </c>
      <c r="N99" s="363">
        <v>1.3100000000000005</v>
      </c>
      <c r="O99" s="363">
        <v>1.3100000000000005</v>
      </c>
      <c r="P99" s="363">
        <v>1.3100000000000005</v>
      </c>
      <c r="Q99" s="92">
        <v>0</v>
      </c>
      <c r="R99" s="96" t="str">
        <f>IFERROR(VLOOKUP($C99,[15]Nod!$A$3:$E$992,4,FALSE)," ")</f>
        <v>LSA34</v>
      </c>
      <c r="S99" s="96">
        <f>IFERROR(VLOOKUP($C99,[15]Nod!$A$3:$E$992,5,FALSE)," ")</f>
        <v>5</v>
      </c>
      <c r="T99" s="338"/>
      <c r="U99" s="338"/>
      <c r="V99" s="338"/>
      <c r="W99" s="338"/>
      <c r="X99" s="361"/>
      <c r="Y99" s="361"/>
      <c r="Z99" s="338"/>
      <c r="AA99" s="338"/>
      <c r="AB99" s="338"/>
      <c r="AC99" s="338"/>
      <c r="AD99" s="338"/>
      <c r="AE99" s="338"/>
      <c r="AF99" s="338"/>
      <c r="AG99" s="338"/>
      <c r="AH99" s="338"/>
      <c r="AI99" s="338"/>
      <c r="AJ99" s="337" t="str">
        <f>IFERROR(VLOOKUP($V88,#REF!,4,FALSE)," ")</f>
        <v xml:space="preserve"> </v>
      </c>
      <c r="AK99" s="337" t="str">
        <f>IFERROR(VLOOKUP($V88,#REF!,5,FALSE)," ")</f>
        <v xml:space="preserve"> </v>
      </c>
    </row>
    <row r="100" spans="1:37" ht="15" customHeight="1" x14ac:dyDescent="0.25">
      <c r="A100" s="80" t="s">
        <v>137</v>
      </c>
      <c r="B100" s="338"/>
      <c r="C100" s="393">
        <v>6010</v>
      </c>
      <c r="D100" s="82">
        <v>7</v>
      </c>
      <c r="E100" s="400">
        <v>7</v>
      </c>
      <c r="F100" s="400">
        <v>7</v>
      </c>
      <c r="G100" s="400">
        <v>7</v>
      </c>
      <c r="H100" s="400">
        <v>7</v>
      </c>
      <c r="I100" s="400">
        <v>7</v>
      </c>
      <c r="J100" s="400">
        <v>7</v>
      </c>
      <c r="K100" s="400">
        <v>7</v>
      </c>
      <c r="L100" s="400">
        <v>7</v>
      </c>
      <c r="M100" s="400">
        <v>7</v>
      </c>
      <c r="N100" s="400">
        <v>7</v>
      </c>
      <c r="O100" s="400">
        <v>7</v>
      </c>
      <c r="P100" s="400">
        <v>7</v>
      </c>
      <c r="Q100" s="83">
        <v>0</v>
      </c>
      <c r="R100" s="96" t="str">
        <f>IFERROR(VLOOKUP($C100,[15]Nod!$A$3:$E$992,4,FALSE)," ")</f>
        <v>LSA34</v>
      </c>
      <c r="S100" s="96">
        <f>IFERROR(VLOOKUP($C100,[15]Nod!$A$3:$E$992,5,FALSE)," ")</f>
        <v>5</v>
      </c>
      <c r="T100" s="338"/>
      <c r="U100" s="338"/>
      <c r="V100" s="338"/>
      <c r="W100" s="338"/>
      <c r="X100" s="361"/>
      <c r="Y100" s="361"/>
      <c r="Z100" s="338"/>
      <c r="AA100" s="338"/>
      <c r="AB100" s="338"/>
      <c r="AC100" s="338"/>
      <c r="AD100" s="338"/>
      <c r="AE100" s="338"/>
      <c r="AF100" s="338"/>
      <c r="AG100" s="338"/>
      <c r="AH100" s="338"/>
      <c r="AI100" s="338"/>
      <c r="AJ100" s="337"/>
      <c r="AK100" s="337"/>
    </row>
    <row r="101" spans="1:37" ht="15" customHeight="1" x14ac:dyDescent="0.25">
      <c r="A101" s="80" t="s">
        <v>138</v>
      </c>
      <c r="B101" s="338"/>
      <c r="C101" s="393">
        <v>6010</v>
      </c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3">
        <v>13</v>
      </c>
      <c r="R101" s="96" t="str">
        <f>IFERROR(VLOOKUP($C101,[15]Nod!$A$3:$E$992,4,FALSE)," ")</f>
        <v>LSA34</v>
      </c>
      <c r="S101" s="96">
        <f>IFERROR(VLOOKUP($C101,[15]Nod!$A$3:$E$992,5,FALSE)," ")</f>
        <v>5</v>
      </c>
      <c r="T101" s="338"/>
      <c r="U101" s="338"/>
      <c r="V101" s="338"/>
      <c r="W101" s="338"/>
      <c r="X101" s="361"/>
      <c r="Y101" s="361"/>
      <c r="Z101" s="338"/>
      <c r="AA101" s="338"/>
      <c r="AB101" s="338"/>
      <c r="AC101" s="338"/>
      <c r="AD101" s="338"/>
      <c r="AE101" s="338"/>
      <c r="AF101" s="338"/>
      <c r="AG101" s="338"/>
      <c r="AH101" s="338"/>
      <c r="AI101" s="338"/>
      <c r="AJ101" s="337" t="str">
        <f>IFERROR(VLOOKUP($V90,#REF!,4,FALSE)," ")</f>
        <v xml:space="preserve"> </v>
      </c>
      <c r="AK101" s="337" t="str">
        <f>IFERROR(VLOOKUP($V90,#REF!,5,FALSE)," ")</f>
        <v xml:space="preserve"> </v>
      </c>
    </row>
    <row r="102" spans="1:37" ht="15" customHeight="1" x14ac:dyDescent="0.25">
      <c r="A102" s="365" t="s">
        <v>139</v>
      </c>
      <c r="B102" s="338"/>
      <c r="C102" s="393">
        <v>6010</v>
      </c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3">
        <v>13</v>
      </c>
      <c r="R102" s="96" t="str">
        <f>IFERROR(VLOOKUP($C102,[15]Nod!$A$3:$E$992,4,FALSE)," ")</f>
        <v>LSA34</v>
      </c>
      <c r="S102" s="96">
        <f>IFERROR(VLOOKUP($C102,[15]Nod!$A$3:$E$992,5,FALSE)," ")</f>
        <v>5</v>
      </c>
      <c r="T102" s="338"/>
      <c r="U102" s="338"/>
      <c r="V102" s="338"/>
      <c r="W102" s="338"/>
      <c r="X102" s="361"/>
      <c r="Y102" s="361"/>
      <c r="Z102" s="338"/>
      <c r="AA102" s="338"/>
      <c r="AB102" s="338"/>
      <c r="AC102" s="338"/>
      <c r="AD102" s="338"/>
      <c r="AE102" s="338"/>
      <c r="AF102" s="338"/>
      <c r="AG102" s="338"/>
      <c r="AH102" s="338"/>
      <c r="AI102" s="338"/>
      <c r="AJ102" s="337"/>
      <c r="AK102" s="337"/>
    </row>
    <row r="103" spans="1:37" ht="15" customHeight="1" x14ac:dyDescent="0.25">
      <c r="A103" s="80" t="s">
        <v>140</v>
      </c>
      <c r="B103" s="338"/>
      <c r="C103" s="393">
        <v>6010</v>
      </c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3">
        <v>13</v>
      </c>
      <c r="R103" s="96" t="str">
        <f>IFERROR(VLOOKUP($C103,[15]Nod!$A$3:$E$992,4,FALSE)," ")</f>
        <v>LSA34</v>
      </c>
      <c r="S103" s="96">
        <f>IFERROR(VLOOKUP($C103,[15]Nod!$A$3:$E$992,5,FALSE)," ")</f>
        <v>5</v>
      </c>
      <c r="T103" s="338"/>
      <c r="U103" s="338"/>
      <c r="V103" s="338"/>
      <c r="W103" s="338"/>
      <c r="X103" s="361"/>
      <c r="Y103" s="361"/>
      <c r="Z103" s="338"/>
      <c r="AA103" s="338"/>
      <c r="AB103" s="338"/>
      <c r="AC103" s="338"/>
      <c r="AD103" s="338"/>
      <c r="AE103" s="338"/>
      <c r="AF103" s="338"/>
      <c r="AG103" s="338"/>
      <c r="AH103" s="338"/>
      <c r="AI103" s="338"/>
      <c r="AJ103" s="337"/>
      <c r="AK103" s="337"/>
    </row>
    <row r="104" spans="1:37" ht="15" customHeight="1" x14ac:dyDescent="0.25">
      <c r="A104" s="80" t="s">
        <v>141</v>
      </c>
      <c r="B104" s="338"/>
      <c r="C104" s="393">
        <v>6010</v>
      </c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83">
        <v>13</v>
      </c>
      <c r="R104" s="96" t="str">
        <f>IFERROR(VLOOKUP($C104,[15]Nod!$A$3:$E$992,4,FALSE)," ")</f>
        <v>LSA34</v>
      </c>
      <c r="S104" s="96">
        <f>IFERROR(VLOOKUP($C104,[15]Nod!$A$3:$E$992,5,FALSE)," ")</f>
        <v>5</v>
      </c>
      <c r="T104" s="338"/>
      <c r="U104" s="338"/>
      <c r="V104" s="338"/>
      <c r="W104" s="338"/>
      <c r="X104" s="361"/>
      <c r="Y104" s="361"/>
      <c r="Z104" s="338"/>
      <c r="AA104" s="338"/>
      <c r="AB104" s="338"/>
      <c r="AC104" s="338"/>
      <c r="AD104" s="338"/>
      <c r="AE104" s="338"/>
      <c r="AF104" s="338"/>
      <c r="AG104" s="338"/>
      <c r="AH104" s="338"/>
      <c r="AI104" s="338"/>
      <c r="AJ104" s="337"/>
      <c r="AK104" s="337"/>
    </row>
    <row r="105" spans="1:37" ht="15" customHeight="1" x14ac:dyDescent="0.25">
      <c r="A105" s="80" t="s">
        <v>209</v>
      </c>
      <c r="B105" s="338"/>
      <c r="C105" s="393">
        <v>6010</v>
      </c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83">
        <v>13</v>
      </c>
      <c r="R105" s="96" t="str">
        <f>IFERROR(VLOOKUP($C105,[15]Nod!$A$3:$E$992,4,FALSE)," ")</f>
        <v>LSA34</v>
      </c>
      <c r="S105" s="96">
        <f>IFERROR(VLOOKUP($C105,[15]Nod!$A$3:$E$992,5,FALSE)," ")</f>
        <v>5</v>
      </c>
      <c r="T105" s="338"/>
      <c r="U105" s="338"/>
      <c r="V105" s="338"/>
      <c r="W105" s="338"/>
      <c r="X105" s="361"/>
      <c r="Y105" s="361"/>
      <c r="Z105" s="338"/>
      <c r="AA105" s="338"/>
      <c r="AB105" s="338"/>
      <c r="AC105" s="338"/>
      <c r="AD105" s="338"/>
      <c r="AE105" s="338"/>
      <c r="AF105" s="338"/>
      <c r="AG105" s="338"/>
      <c r="AH105" s="338"/>
      <c r="AI105" s="338"/>
      <c r="AJ105" s="337"/>
      <c r="AK105" s="337"/>
    </row>
    <row r="106" spans="1:37" ht="15" customHeight="1" x14ac:dyDescent="0.25">
      <c r="A106" s="80" t="s">
        <v>142</v>
      </c>
      <c r="B106" s="338"/>
      <c r="C106" s="393">
        <v>6010</v>
      </c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83">
        <v>13</v>
      </c>
      <c r="R106" s="96" t="str">
        <f>IFERROR(VLOOKUP($C106,[15]Nod!$A$3:$E$992,4,FALSE)," ")</f>
        <v>LSA34</v>
      </c>
      <c r="S106" s="96">
        <f>IFERROR(VLOOKUP($C106,[15]Nod!$A$3:$E$992,5,FALSE)," ")</f>
        <v>5</v>
      </c>
      <c r="T106" s="338"/>
      <c r="U106" s="338"/>
      <c r="V106" s="338"/>
      <c r="W106" s="338"/>
      <c r="X106" s="361"/>
      <c r="Y106" s="361"/>
      <c r="Z106" s="338"/>
      <c r="AA106" s="338"/>
      <c r="AB106" s="338"/>
      <c r="AC106" s="338"/>
      <c r="AD106" s="338"/>
      <c r="AE106" s="338"/>
      <c r="AF106" s="338"/>
      <c r="AG106" s="338"/>
      <c r="AH106" s="338"/>
      <c r="AI106" s="338"/>
      <c r="AJ106" s="337" t="str">
        <f>IFERROR(VLOOKUP($V92,#REF!,4,FALSE)," ")</f>
        <v xml:space="preserve"> </v>
      </c>
      <c r="AK106" s="337" t="str">
        <f>IFERROR(VLOOKUP($V92,#REF!,5,FALSE)," ")</f>
        <v xml:space="preserve"> </v>
      </c>
    </row>
    <row r="107" spans="1:37" ht="15" customHeight="1" x14ac:dyDescent="0.25">
      <c r="A107" s="80" t="s">
        <v>143</v>
      </c>
      <c r="B107" s="338"/>
      <c r="C107" s="393">
        <v>6010</v>
      </c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3">
        <v>13</v>
      </c>
      <c r="R107" s="96" t="str">
        <f>IFERROR(VLOOKUP($C107,[15]Nod!$A$3:$E$992,4,FALSE)," ")</f>
        <v>LSA34</v>
      </c>
      <c r="S107" s="96">
        <f>IFERROR(VLOOKUP($C107,[15]Nod!$A$3:$E$992,5,FALSE)," ")</f>
        <v>5</v>
      </c>
      <c r="T107" s="338"/>
      <c r="U107" s="338"/>
      <c r="V107" s="338"/>
      <c r="W107" s="338"/>
      <c r="X107" s="361"/>
      <c r="Y107" s="361"/>
      <c r="Z107" s="338"/>
      <c r="AA107" s="338"/>
      <c r="AB107" s="338"/>
      <c r="AC107" s="338"/>
      <c r="AD107" s="338"/>
      <c r="AE107" s="338"/>
      <c r="AF107" s="338"/>
      <c r="AG107" s="338"/>
      <c r="AH107" s="338"/>
      <c r="AI107" s="338"/>
      <c r="AJ107" s="337" t="str">
        <f>IFERROR(VLOOKUP($V93,#REF!,4,FALSE)," ")</f>
        <v xml:space="preserve"> </v>
      </c>
      <c r="AK107" s="337" t="str">
        <f>IFERROR(VLOOKUP($V93,#REF!,5,FALSE)," ")</f>
        <v xml:space="preserve"> </v>
      </c>
    </row>
    <row r="108" spans="1:37" ht="15" customHeight="1" x14ac:dyDescent="0.25">
      <c r="A108" s="80" t="s">
        <v>144</v>
      </c>
      <c r="B108" s="338"/>
      <c r="C108" s="393">
        <v>6010</v>
      </c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3">
        <v>13</v>
      </c>
      <c r="R108" s="96" t="str">
        <f>IFERROR(VLOOKUP($C108,[15]Nod!$A$3:$E$992,4,FALSE)," ")</f>
        <v>LSA34</v>
      </c>
      <c r="S108" s="96">
        <f>IFERROR(VLOOKUP($C108,[15]Nod!$A$3:$E$992,5,FALSE)," ")</f>
        <v>5</v>
      </c>
      <c r="T108" s="338"/>
      <c r="U108" s="338"/>
      <c r="V108" s="338"/>
      <c r="W108" s="338"/>
      <c r="X108" s="361"/>
      <c r="Y108" s="361"/>
      <c r="Z108" s="338"/>
      <c r="AA108" s="338"/>
      <c r="AB108" s="338"/>
      <c r="AC108" s="338"/>
      <c r="AD108" s="338"/>
      <c r="AE108" s="338"/>
      <c r="AF108" s="338"/>
      <c r="AG108" s="338"/>
      <c r="AH108" s="338"/>
      <c r="AI108" s="338"/>
      <c r="AJ108" s="337"/>
      <c r="AK108" s="337"/>
    </row>
    <row r="109" spans="1:37" ht="15" customHeight="1" x14ac:dyDescent="0.25">
      <c r="A109" s="80" t="s">
        <v>145</v>
      </c>
      <c r="B109" s="338"/>
      <c r="C109" s="393">
        <v>6010</v>
      </c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3">
        <v>13</v>
      </c>
      <c r="R109" s="96" t="str">
        <f>IFERROR(VLOOKUP($C109,[15]Nod!$A$3:$E$992,4,FALSE)," ")</f>
        <v>LSA34</v>
      </c>
      <c r="S109" s="96">
        <f>IFERROR(VLOOKUP($C109,[15]Nod!$A$3:$E$992,5,FALSE)," ")</f>
        <v>5</v>
      </c>
      <c r="T109" s="338"/>
      <c r="U109" s="338"/>
      <c r="V109" s="338"/>
      <c r="W109" s="338"/>
      <c r="X109" s="361"/>
      <c r="Y109" s="361"/>
      <c r="Z109" s="338"/>
      <c r="AA109" s="338"/>
      <c r="AB109" s="338"/>
      <c r="AC109" s="338"/>
      <c r="AD109" s="338"/>
      <c r="AE109" s="338"/>
      <c r="AF109" s="338"/>
      <c r="AG109" s="338"/>
      <c r="AH109" s="338"/>
      <c r="AI109" s="338"/>
      <c r="AJ109" s="337"/>
      <c r="AK109" s="337"/>
    </row>
    <row r="110" spans="1:37" ht="15" customHeight="1" x14ac:dyDescent="0.25">
      <c r="A110" s="365" t="s">
        <v>146</v>
      </c>
      <c r="B110" s="338"/>
      <c r="C110" s="393">
        <v>6010</v>
      </c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3">
        <v>13</v>
      </c>
      <c r="R110" s="96" t="str">
        <f>IFERROR(VLOOKUP($C110,[15]Nod!$A$3:$E$992,4,FALSE)," ")</f>
        <v>LSA34</v>
      </c>
      <c r="S110" s="96">
        <f>IFERROR(VLOOKUP($C110,[15]Nod!$A$3:$E$992,5,FALSE)," ")</f>
        <v>5</v>
      </c>
      <c r="T110" s="338"/>
      <c r="U110" s="338"/>
      <c r="V110" s="338"/>
      <c r="W110" s="338"/>
      <c r="X110" s="361"/>
      <c r="Y110" s="361"/>
      <c r="Z110" s="338"/>
      <c r="AA110" s="338"/>
      <c r="AB110" s="338"/>
      <c r="AC110" s="338"/>
      <c r="AD110" s="338"/>
      <c r="AE110" s="338"/>
      <c r="AF110" s="338"/>
      <c r="AG110" s="338"/>
      <c r="AH110" s="338"/>
      <c r="AI110" s="338"/>
      <c r="AJ110" s="337" t="str">
        <f>IFERROR(VLOOKUP($V94,#REF!,4,FALSE)," ")</f>
        <v xml:space="preserve"> </v>
      </c>
      <c r="AK110" s="337" t="str">
        <f>IFERROR(VLOOKUP($V94,#REF!,5,FALSE)," ")</f>
        <v xml:space="preserve"> </v>
      </c>
    </row>
    <row r="111" spans="1:37" ht="15" customHeight="1" x14ac:dyDescent="0.25">
      <c r="A111" s="365" t="s">
        <v>147</v>
      </c>
      <c r="B111" s="338"/>
      <c r="C111" s="393">
        <v>6010</v>
      </c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3">
        <v>13</v>
      </c>
      <c r="R111" s="96" t="str">
        <f>IFERROR(VLOOKUP($C111,[15]Nod!$A$3:$E$992,4,FALSE)," ")</f>
        <v>LSA34</v>
      </c>
      <c r="S111" s="96">
        <f>IFERROR(VLOOKUP($C111,[15]Nod!$A$3:$E$992,5,FALSE)," ")</f>
        <v>5</v>
      </c>
      <c r="T111" s="338"/>
      <c r="U111" s="338"/>
      <c r="V111" s="338"/>
      <c r="W111" s="338"/>
      <c r="X111" s="361"/>
      <c r="Y111" s="361"/>
      <c r="Z111" s="338"/>
      <c r="AA111" s="338"/>
      <c r="AB111" s="338"/>
      <c r="AC111" s="338"/>
      <c r="AD111" s="338"/>
      <c r="AE111" s="338"/>
      <c r="AF111" s="338"/>
      <c r="AG111" s="338"/>
      <c r="AH111" s="338"/>
      <c r="AI111" s="338"/>
      <c r="AJ111" s="337" t="str">
        <f>IFERROR(VLOOKUP($V95,#REF!,4,FALSE)," ")</f>
        <v xml:space="preserve"> </v>
      </c>
      <c r="AK111" s="337" t="str">
        <f>IFERROR(VLOOKUP($V95,#REF!,5,FALSE)," ")</f>
        <v xml:space="preserve"> </v>
      </c>
    </row>
    <row r="112" spans="1:37" ht="15" customHeight="1" x14ac:dyDescent="0.25">
      <c r="A112" s="80" t="s">
        <v>148</v>
      </c>
      <c r="B112" s="338"/>
      <c r="C112" s="393">
        <v>6010</v>
      </c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3">
        <v>13</v>
      </c>
      <c r="R112" s="96" t="str">
        <f>IFERROR(VLOOKUP($C112,[15]Nod!$A$3:$E$992,4,FALSE)," ")</f>
        <v>LSA34</v>
      </c>
      <c r="S112" s="96">
        <f>IFERROR(VLOOKUP($C112,[15]Nod!$A$3:$E$992,5,FALSE)," ")</f>
        <v>5</v>
      </c>
      <c r="T112" s="338"/>
      <c r="U112" s="338"/>
      <c r="V112" s="338"/>
      <c r="W112" s="338"/>
      <c r="X112" s="361"/>
      <c r="Y112" s="361"/>
      <c r="Z112" s="338"/>
      <c r="AA112" s="338"/>
      <c r="AB112" s="338"/>
      <c r="AC112" s="338"/>
      <c r="AD112" s="338"/>
      <c r="AE112" s="338"/>
      <c r="AF112" s="338"/>
      <c r="AG112" s="338"/>
      <c r="AH112" s="338"/>
      <c r="AI112" s="338"/>
      <c r="AJ112" s="337" t="str">
        <f>IFERROR(VLOOKUP($V97,#REF!,4,FALSE)," ")</f>
        <v xml:space="preserve"> </v>
      </c>
      <c r="AK112" s="337" t="str">
        <f>IFERROR(VLOOKUP($V97,#REF!,5,FALSE)," ")</f>
        <v xml:space="preserve"> </v>
      </c>
    </row>
    <row r="113" spans="1:36" ht="15" customHeight="1" x14ac:dyDescent="0.25">
      <c r="A113" s="80" t="s">
        <v>149</v>
      </c>
      <c r="B113" s="338"/>
      <c r="C113" s="393">
        <v>6010</v>
      </c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3">
        <v>13</v>
      </c>
      <c r="R113" s="96" t="str">
        <f>IFERROR(VLOOKUP($C113,[15]Nod!$A$3:$E$992,4,FALSE)," ")</f>
        <v>LSA34</v>
      </c>
      <c r="S113" s="96">
        <f>IFERROR(VLOOKUP($C113,[15]Nod!$A$3:$E$992,5,FALSE)," ")</f>
        <v>5</v>
      </c>
      <c r="T113" s="338"/>
      <c r="U113" s="338"/>
      <c r="V113" s="338"/>
      <c r="W113" s="338"/>
      <c r="X113" s="361"/>
      <c r="Y113" s="361"/>
      <c r="Z113" s="338"/>
      <c r="AA113" s="338"/>
      <c r="AB113" s="338"/>
      <c r="AC113" s="338"/>
      <c r="AD113" s="338"/>
      <c r="AE113" s="338"/>
      <c r="AF113" s="338"/>
      <c r="AG113" s="338"/>
      <c r="AH113" s="338"/>
      <c r="AI113" s="338"/>
      <c r="AJ113" s="337" t="str">
        <f>IFERROR(VLOOKUP($V98,#REF!,4,FALSE)," ")</f>
        <v xml:space="preserve"> </v>
      </c>
    </row>
    <row r="114" spans="1:36" ht="15" customHeight="1" x14ac:dyDescent="0.25">
      <c r="A114" s="80" t="s">
        <v>150</v>
      </c>
      <c r="B114" s="338"/>
      <c r="C114" s="81">
        <v>6460</v>
      </c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3">
        <v>13</v>
      </c>
      <c r="R114" s="96" t="str">
        <f>IFERROR(VLOOKUP($C114,[15]Nod!$A$3:$E$992,4,FALSE)," ")</f>
        <v>ECO230</v>
      </c>
      <c r="S114" s="96">
        <f>IFERROR(VLOOKUP($C114,[15]Nod!$A$3:$E$992,5,FALSE)," ")</f>
        <v>5</v>
      </c>
      <c r="T114" s="338"/>
      <c r="U114" s="338"/>
      <c r="V114" s="338"/>
      <c r="W114" s="338"/>
      <c r="X114" s="361"/>
      <c r="Y114" s="361"/>
      <c r="Z114" s="338"/>
      <c r="AA114" s="338"/>
      <c r="AB114" s="338"/>
      <c r="AC114" s="338"/>
      <c r="AD114" s="338"/>
      <c r="AE114" s="338"/>
      <c r="AF114" s="338"/>
      <c r="AG114" s="338"/>
      <c r="AH114" s="338"/>
      <c r="AI114" s="338"/>
      <c r="AJ114" s="337" t="str">
        <f>IFERROR(VLOOKUP($V102,#REF!,4,FALSE)," ")</f>
        <v xml:space="preserve"> </v>
      </c>
    </row>
    <row r="115" spans="1:36" ht="15" customHeight="1" x14ac:dyDescent="0.25">
      <c r="A115" s="80" t="s">
        <v>151</v>
      </c>
      <c r="B115" s="338"/>
      <c r="C115" s="81">
        <v>6460</v>
      </c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3">
        <v>13</v>
      </c>
      <c r="R115" s="96" t="str">
        <f>IFERROR(VLOOKUP($C115,[15]Nod!$A$3:$E$992,4,FALSE)," ")</f>
        <v>ECO230</v>
      </c>
      <c r="S115" s="96">
        <f>IFERROR(VLOOKUP($C115,[15]Nod!$A$3:$E$992,5,FALSE)," ")</f>
        <v>5</v>
      </c>
      <c r="T115" s="338"/>
      <c r="U115" s="338"/>
      <c r="V115" s="338"/>
      <c r="W115" s="338"/>
      <c r="X115" s="361"/>
      <c r="Y115" s="361"/>
      <c r="Z115" s="338"/>
      <c r="AA115" s="338"/>
      <c r="AB115" s="338"/>
      <c r="AC115" s="338"/>
      <c r="AD115" s="338"/>
      <c r="AE115" s="338"/>
      <c r="AF115" s="338"/>
      <c r="AG115" s="338"/>
      <c r="AH115" s="338"/>
      <c r="AI115" s="338"/>
      <c r="AJ115" s="337" t="str">
        <f>IFERROR(VLOOKUP($V103,#REF!,4,FALSE)," ")</f>
        <v xml:space="preserve"> </v>
      </c>
    </row>
    <row r="116" spans="1:36" ht="15" customHeight="1" x14ac:dyDescent="0.25">
      <c r="A116" s="80" t="s">
        <v>152</v>
      </c>
      <c r="B116" s="338"/>
      <c r="C116" s="81">
        <v>6460</v>
      </c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3">
        <v>13</v>
      </c>
      <c r="R116" s="96" t="str">
        <f>IFERROR(VLOOKUP($C116,[15]Nod!$A$3:$E$992,4,FALSE)," ")</f>
        <v>ECO230</v>
      </c>
      <c r="S116" s="96">
        <f>IFERROR(VLOOKUP($C116,[15]Nod!$A$3:$E$992,5,FALSE)," ")</f>
        <v>5</v>
      </c>
      <c r="T116" s="338"/>
      <c r="U116" s="338"/>
      <c r="V116" s="338"/>
      <c r="W116" s="338"/>
      <c r="X116" s="361"/>
      <c r="Y116" s="361"/>
      <c r="Z116" s="338"/>
      <c r="AA116" s="338"/>
      <c r="AB116" s="338"/>
      <c r="AC116" s="338"/>
      <c r="AD116" s="338"/>
      <c r="AE116" s="338"/>
      <c r="AF116" s="338"/>
      <c r="AG116" s="338"/>
      <c r="AH116" s="338"/>
      <c r="AI116" s="338"/>
      <c r="AJ116" s="337" t="str">
        <f>IFERROR(VLOOKUP($V106,#REF!,4,FALSE)," ")</f>
        <v xml:space="preserve"> </v>
      </c>
    </row>
    <row r="117" spans="1:36" ht="15" customHeight="1" x14ac:dyDescent="0.25">
      <c r="A117" s="80" t="s">
        <v>153</v>
      </c>
      <c r="B117" s="338"/>
      <c r="C117" s="81">
        <v>6460</v>
      </c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3">
        <v>13</v>
      </c>
      <c r="R117" s="96" t="str">
        <f>IFERROR(VLOOKUP($C117,[15]Nod!$A$3:$E$992,4,FALSE)," ")</f>
        <v>ECO230</v>
      </c>
      <c r="S117" s="96">
        <f>IFERROR(VLOOKUP($C117,[15]Nod!$A$3:$E$992,5,FALSE)," ")</f>
        <v>5</v>
      </c>
      <c r="T117" s="338"/>
      <c r="U117" s="338"/>
      <c r="V117" s="338"/>
      <c r="W117" s="338"/>
      <c r="X117" s="361"/>
      <c r="Y117" s="361"/>
      <c r="Z117" s="338"/>
      <c r="AA117" s="338"/>
      <c r="AB117" s="338"/>
      <c r="AC117" s="338"/>
      <c r="AD117" s="338"/>
      <c r="AE117" s="338"/>
      <c r="AF117" s="338"/>
      <c r="AG117" s="338"/>
      <c r="AH117" s="338"/>
      <c r="AI117" s="338"/>
      <c r="AJ117" s="337" t="str">
        <f>IFERROR(VLOOKUP($V107,#REF!,4,FALSE)," ")</f>
        <v xml:space="preserve"> </v>
      </c>
    </row>
    <row r="118" spans="1:36" ht="15" customHeight="1" x14ac:dyDescent="0.25">
      <c r="A118" s="80" t="s">
        <v>154</v>
      </c>
      <c r="B118" s="338"/>
      <c r="C118" s="81">
        <v>6460</v>
      </c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3">
        <v>13</v>
      </c>
      <c r="R118" s="96" t="str">
        <f>IFERROR(VLOOKUP($C118,[15]Nod!$A$3:$E$992,4,FALSE)," ")</f>
        <v>ECO230</v>
      </c>
      <c r="S118" s="96">
        <f>IFERROR(VLOOKUP($C118,[15]Nod!$A$3:$E$992,5,FALSE)," ")</f>
        <v>5</v>
      </c>
      <c r="T118" s="338"/>
      <c r="U118" s="338"/>
      <c r="V118" s="338"/>
      <c r="W118" s="338"/>
      <c r="X118" s="361"/>
      <c r="Y118" s="361"/>
      <c r="Z118" s="338"/>
      <c r="AA118" s="338"/>
      <c r="AB118" s="338"/>
      <c r="AC118" s="338"/>
      <c r="AD118" s="338"/>
      <c r="AE118" s="338"/>
      <c r="AF118" s="338"/>
      <c r="AG118" s="338"/>
      <c r="AH118" s="338"/>
      <c r="AI118" s="338"/>
      <c r="AJ118" s="337" t="str">
        <f>IFERROR(VLOOKUP($V109,#REF!,4,FALSE)," ")</f>
        <v xml:space="preserve"> </v>
      </c>
    </row>
    <row r="119" spans="1:36" ht="15" customHeight="1" x14ac:dyDescent="0.25">
      <c r="A119" s="80" t="s">
        <v>155</v>
      </c>
      <c r="B119" s="401"/>
      <c r="C119" s="402">
        <v>6460</v>
      </c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5">
        <v>0</v>
      </c>
      <c r="R119" s="96" t="str">
        <f>IFERROR(VLOOKUP($C119,[15]Nod!$A$3:$E$992,4,FALSE)," ")</f>
        <v>ECO230</v>
      </c>
      <c r="S119" s="96">
        <f>IFERROR(VLOOKUP($C119,[15]Nod!$A$3:$E$992,5,FALSE)," ")</f>
        <v>5</v>
      </c>
      <c r="T119" s="338"/>
      <c r="U119" s="338"/>
      <c r="V119" s="338"/>
      <c r="W119" s="339"/>
      <c r="X119" s="361"/>
      <c r="Y119" s="361"/>
      <c r="Z119" s="338"/>
      <c r="AA119" s="338"/>
      <c r="AB119" s="338"/>
      <c r="AC119" s="338"/>
      <c r="AD119" s="338"/>
      <c r="AE119" s="338"/>
      <c r="AF119" s="338"/>
      <c r="AG119" s="338"/>
      <c r="AH119" s="338"/>
      <c r="AI119" s="338"/>
      <c r="AJ119" s="337" t="str">
        <f>IFERROR(VLOOKUP($V110,#REF!,4,FALSE)," ")</f>
        <v xml:space="preserve"> </v>
      </c>
    </row>
    <row r="120" spans="1:36" ht="15" customHeight="1" x14ac:dyDescent="0.25">
      <c r="A120" s="365" t="s">
        <v>156</v>
      </c>
      <c r="B120" s="338"/>
      <c r="C120" s="393">
        <v>6010</v>
      </c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3">
        <v>13</v>
      </c>
      <c r="R120" s="96" t="str">
        <f>IFERROR(VLOOKUP($C120,[15]Nod!$A$3:$E$992,4,FALSE)," ")</f>
        <v>LSA34</v>
      </c>
      <c r="S120" s="96">
        <f>IFERROR(VLOOKUP($C120,[15]Nod!$A$3:$E$992,5,FALSE)," ")</f>
        <v>5</v>
      </c>
      <c r="T120" s="338"/>
      <c r="U120" s="338"/>
      <c r="V120" s="338"/>
      <c r="W120" s="339"/>
      <c r="X120" s="361"/>
      <c r="Y120" s="361"/>
      <c r="Z120" s="338"/>
      <c r="AA120" s="338"/>
      <c r="AB120" s="338"/>
      <c r="AC120" s="338"/>
      <c r="AD120" s="338"/>
      <c r="AE120" s="338"/>
      <c r="AF120" s="338"/>
      <c r="AG120" s="338"/>
      <c r="AH120" s="338"/>
      <c r="AI120" s="338"/>
      <c r="AJ120" s="337" t="str">
        <f>IFERROR(VLOOKUP(#REF!,#REF!,4,FALSE)," ")</f>
        <v xml:space="preserve"> </v>
      </c>
    </row>
    <row r="121" spans="1:36" ht="15" customHeight="1" x14ac:dyDescent="0.25">
      <c r="A121" s="365" t="s">
        <v>157</v>
      </c>
      <c r="B121" s="338"/>
      <c r="C121" s="393">
        <v>6010</v>
      </c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3">
        <v>13</v>
      </c>
      <c r="R121" s="96" t="str">
        <f>IFERROR(VLOOKUP($C121,[15]Nod!$A$3:$E$992,4,FALSE)," ")</f>
        <v>LSA34</v>
      </c>
      <c r="S121" s="96">
        <f>IFERROR(VLOOKUP($C121,[15]Nod!$A$3:$E$992,5,FALSE)," ")</f>
        <v>5</v>
      </c>
      <c r="T121" s="338"/>
      <c r="U121" s="338"/>
      <c r="V121" s="338"/>
      <c r="W121" s="339"/>
      <c r="X121" s="361"/>
      <c r="Y121" s="361"/>
      <c r="Z121" s="338"/>
      <c r="AA121" s="338"/>
      <c r="AB121" s="338"/>
      <c r="AC121" s="338"/>
      <c r="AD121" s="338"/>
      <c r="AE121" s="338"/>
      <c r="AF121" s="338"/>
      <c r="AG121" s="338"/>
      <c r="AH121" s="338"/>
      <c r="AI121" s="338"/>
      <c r="AJ121" s="337" t="str">
        <f>IFERROR(VLOOKUP($V112,#REF!,4,FALSE)," ")</f>
        <v xml:space="preserve"> </v>
      </c>
    </row>
    <row r="122" spans="1:36" ht="15" customHeight="1" x14ac:dyDescent="0.25">
      <c r="A122" s="365" t="s">
        <v>67</v>
      </c>
      <c r="B122" s="338"/>
      <c r="C122" s="393">
        <v>6008</v>
      </c>
      <c r="D122" s="82">
        <f>AVERAGE(E122:P122)</f>
        <v>136.978621</v>
      </c>
      <c r="E122" s="403">
        <v>127.22</v>
      </c>
      <c r="F122" s="403">
        <v>157.44</v>
      </c>
      <c r="G122" s="403">
        <v>120.77</v>
      </c>
      <c r="H122" s="403">
        <v>150.88999999999999</v>
      </c>
      <c r="I122" s="403">
        <v>159.47</v>
      </c>
      <c r="J122" s="403">
        <v>1.92</v>
      </c>
      <c r="K122" s="403">
        <v>77.89</v>
      </c>
      <c r="L122" s="403">
        <v>158.81</v>
      </c>
      <c r="M122" s="403">
        <v>193.77</v>
      </c>
      <c r="N122" s="403">
        <v>115.893252</v>
      </c>
      <c r="O122" s="403">
        <v>176.35563200000001</v>
      </c>
      <c r="P122" s="403">
        <v>203.31456800000001</v>
      </c>
      <c r="Q122" s="83">
        <v>0</v>
      </c>
      <c r="R122" s="96" t="str">
        <f>IFERROR(VLOOKUP($C122,[15]Nod!$A$3:$E$992,4,FALSE)," ")</f>
        <v>LSA230</v>
      </c>
      <c r="S122" s="96">
        <f>IFERROR(VLOOKUP($C122,[15]Nod!$A$3:$E$992,5,FALSE)," ")</f>
        <v>5</v>
      </c>
      <c r="T122" s="338"/>
      <c r="U122" s="338"/>
      <c r="V122" s="338"/>
      <c r="W122" s="339"/>
      <c r="X122" s="361"/>
      <c r="Y122" s="361"/>
      <c r="Z122" s="338"/>
      <c r="AA122" s="338"/>
      <c r="AB122" s="338"/>
      <c r="AC122" s="338"/>
      <c r="AD122" s="338"/>
      <c r="AE122" s="338"/>
      <c r="AF122" s="338"/>
      <c r="AG122" s="338"/>
      <c r="AH122" s="338"/>
      <c r="AI122" s="338"/>
      <c r="AJ122" s="337" t="str">
        <f>IFERROR(VLOOKUP(#REF!,#REF!,4,FALSE)," ")</f>
        <v xml:space="preserve"> </v>
      </c>
    </row>
    <row r="123" spans="1:36" ht="15" customHeight="1" x14ac:dyDescent="0.25">
      <c r="A123" s="365" t="s">
        <v>158</v>
      </c>
      <c r="B123" s="338"/>
      <c r="C123" s="393">
        <v>6010</v>
      </c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3">
        <v>0</v>
      </c>
      <c r="R123" s="96" t="str">
        <f>IFERROR(VLOOKUP($C123,[15]Nod!$A$3:$E$992,4,FALSE)," ")</f>
        <v>LSA34</v>
      </c>
      <c r="S123" s="96">
        <f>IFERROR(VLOOKUP($C123,[15]Nod!$A$3:$E$992,5,FALSE)," ")</f>
        <v>5</v>
      </c>
      <c r="T123" s="338"/>
      <c r="U123" s="338"/>
      <c r="V123" s="338"/>
      <c r="W123" s="339"/>
      <c r="X123" s="361"/>
      <c r="Y123" s="361"/>
      <c r="Z123" s="338"/>
      <c r="AA123" s="338"/>
      <c r="AB123" s="338"/>
      <c r="AC123" s="338"/>
      <c r="AD123" s="338"/>
      <c r="AE123" s="338"/>
      <c r="AF123" s="338"/>
      <c r="AG123" s="338"/>
      <c r="AH123" s="338"/>
      <c r="AI123" s="338"/>
      <c r="AJ123" s="337" t="str">
        <f>IFERROR(VLOOKUP($V117,#REF!,4,FALSE)," ")</f>
        <v xml:space="preserve"> </v>
      </c>
    </row>
    <row r="124" spans="1:36" ht="15" customHeight="1" x14ac:dyDescent="0.25">
      <c r="A124" s="365" t="s">
        <v>159</v>
      </c>
      <c r="B124" s="338"/>
      <c r="C124" s="404">
        <v>6010</v>
      </c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3">
        <v>0</v>
      </c>
      <c r="R124" s="96" t="str">
        <f>IFERROR(VLOOKUP($C124,[15]Nod!$A$3:$E$992,4,FALSE)," ")</f>
        <v>LSA34</v>
      </c>
      <c r="S124" s="96">
        <f>IFERROR(VLOOKUP($C124,[15]Nod!$A$3:$E$992,5,FALSE)," ")</f>
        <v>5</v>
      </c>
      <c r="T124" s="338"/>
      <c r="U124" s="338"/>
      <c r="V124" s="338"/>
      <c r="W124" s="339"/>
      <c r="X124" s="361"/>
      <c r="Y124" s="361"/>
      <c r="Z124" s="338"/>
      <c r="AA124" s="338"/>
      <c r="AB124" s="338"/>
      <c r="AC124" s="338"/>
      <c r="AD124" s="338"/>
      <c r="AE124" s="338"/>
      <c r="AF124" s="338"/>
      <c r="AG124" s="338"/>
      <c r="AH124" s="338"/>
      <c r="AI124" s="338"/>
      <c r="AJ124" s="337" t="str">
        <f>IFERROR(VLOOKUP(#REF!,#REF!,4,FALSE)," ")</f>
        <v xml:space="preserve"> </v>
      </c>
    </row>
    <row r="125" spans="1:36" ht="15" customHeight="1" x14ac:dyDescent="0.25">
      <c r="A125" s="365" t="s">
        <v>210</v>
      </c>
      <c r="B125" s="338"/>
      <c r="C125" s="404">
        <v>6010</v>
      </c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3">
        <v>0</v>
      </c>
      <c r="R125" s="96" t="str">
        <f>IFERROR(VLOOKUP($C125,[15]Nod!$A$3:$E$992,4,FALSE)," ")</f>
        <v>LSA34</v>
      </c>
      <c r="S125" s="96">
        <f>IFERROR(VLOOKUP($C125,[15]Nod!$A$3:$E$992,5,FALSE)," ")</f>
        <v>5</v>
      </c>
      <c r="T125" s="338"/>
      <c r="U125" s="338"/>
      <c r="V125" s="338"/>
      <c r="W125" s="339"/>
      <c r="X125" s="361"/>
      <c r="Y125" s="361"/>
      <c r="Z125" s="338"/>
      <c r="AA125" s="338"/>
      <c r="AB125" s="338"/>
      <c r="AC125" s="338"/>
      <c r="AD125" s="338"/>
      <c r="AE125" s="338"/>
      <c r="AF125" s="338"/>
      <c r="AG125" s="338"/>
      <c r="AH125" s="338"/>
      <c r="AI125" s="338"/>
      <c r="AJ125" s="337"/>
    </row>
    <row r="126" spans="1:36" ht="15" customHeight="1" x14ac:dyDescent="0.25">
      <c r="A126" s="365" t="s">
        <v>160</v>
      </c>
      <c r="B126" s="338"/>
      <c r="C126" s="404">
        <v>6010</v>
      </c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3">
        <v>0</v>
      </c>
      <c r="R126" s="96" t="str">
        <f>IFERROR(VLOOKUP($C126,[15]Nod!$A$3:$E$992,4,FALSE)," ")</f>
        <v>LSA34</v>
      </c>
      <c r="S126" s="96">
        <f>IFERROR(VLOOKUP($C126,[15]Nod!$A$3:$E$992,5,FALSE)," ")</f>
        <v>5</v>
      </c>
      <c r="T126" s="338"/>
      <c r="U126" s="338"/>
      <c r="V126" s="338"/>
      <c r="W126" s="339"/>
      <c r="X126" s="361"/>
      <c r="Y126" s="361"/>
      <c r="Z126" s="338"/>
      <c r="AA126" s="338"/>
      <c r="AB126" s="338"/>
      <c r="AC126" s="338"/>
      <c r="AD126" s="338"/>
      <c r="AE126" s="338"/>
      <c r="AF126" s="338"/>
      <c r="AG126" s="338"/>
      <c r="AH126" s="338"/>
      <c r="AI126" s="338"/>
      <c r="AJ126" s="337" t="str">
        <f>IFERROR(VLOOKUP($V118,#REF!,4,FALSE)," ")</f>
        <v xml:space="preserve"> </v>
      </c>
    </row>
    <row r="127" spans="1:36" ht="15" customHeight="1" x14ac:dyDescent="0.25">
      <c r="A127" s="365" t="s">
        <v>161</v>
      </c>
      <c r="B127" s="338"/>
      <c r="C127" s="404">
        <v>6010</v>
      </c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3">
        <v>0</v>
      </c>
      <c r="R127" s="96" t="str">
        <f>IFERROR(VLOOKUP($C127,[15]Nod!$A$3:$E$992,4,FALSE)," ")</f>
        <v>LSA34</v>
      </c>
      <c r="S127" s="96">
        <f>IFERROR(VLOOKUP($C127,[15]Nod!$A$3:$E$992,5,FALSE)," ")</f>
        <v>5</v>
      </c>
      <c r="T127" s="338"/>
      <c r="U127" s="338"/>
      <c r="V127" s="338"/>
      <c r="W127" s="339"/>
      <c r="X127" s="361"/>
      <c r="Y127" s="361"/>
      <c r="Z127" s="338"/>
      <c r="AA127" s="338"/>
      <c r="AB127" s="338"/>
      <c r="AC127" s="338"/>
      <c r="AD127" s="338"/>
      <c r="AE127" s="338"/>
      <c r="AF127" s="338"/>
      <c r="AG127" s="338"/>
      <c r="AH127" s="338"/>
      <c r="AI127" s="338"/>
      <c r="AJ127" s="337" t="str">
        <f>IFERROR(VLOOKUP($V119,#REF!,4,FALSE)," ")</f>
        <v xml:space="preserve"> </v>
      </c>
    </row>
    <row r="128" spans="1:36" ht="15" customHeight="1" x14ac:dyDescent="0.2">
      <c r="A128" s="365" t="s">
        <v>162</v>
      </c>
      <c r="B128" s="405"/>
      <c r="C128" s="404">
        <v>6010</v>
      </c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5">
        <v>0</v>
      </c>
      <c r="R128" s="96" t="str">
        <f>IFERROR(VLOOKUP($C128,[15]Nod!$A$3:$E$992,4,FALSE)," ")</f>
        <v>LSA34</v>
      </c>
      <c r="S128" s="96">
        <f>IFERROR(VLOOKUP($C128,[15]Nod!$A$3:$E$992,5,FALSE)," ")</f>
        <v>5</v>
      </c>
      <c r="T128" s="338"/>
      <c r="U128" s="338"/>
      <c r="V128" s="338"/>
      <c r="W128" s="339"/>
      <c r="X128" s="361"/>
      <c r="Y128" s="361"/>
      <c r="Z128" s="338"/>
      <c r="AA128" s="338"/>
      <c r="AB128" s="338"/>
      <c r="AC128" s="338"/>
      <c r="AD128" s="338"/>
      <c r="AE128" s="338"/>
      <c r="AF128" s="338"/>
      <c r="AG128" s="338"/>
      <c r="AH128" s="338"/>
      <c r="AI128" s="338"/>
      <c r="AJ128" s="337" t="str">
        <f>IFERROR(VLOOKUP(#REF!,#REF!,4,FALSE)," ")</f>
        <v xml:space="preserve"> </v>
      </c>
    </row>
    <row r="129" spans="1:35" ht="15" customHeight="1" x14ac:dyDescent="0.2">
      <c r="A129" s="365" t="s">
        <v>163</v>
      </c>
      <c r="B129" s="405"/>
      <c r="C129" s="404">
        <v>6010</v>
      </c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85">
        <v>13</v>
      </c>
      <c r="R129" s="96" t="str">
        <f>IFERROR(VLOOKUP($C129,[15]Nod!$A$3:$E$992,4,FALSE)," ")</f>
        <v>LSA34</v>
      </c>
      <c r="S129" s="96">
        <f>IFERROR(VLOOKUP($C129,[15]Nod!$A$3:$E$992,5,FALSE)," ")</f>
        <v>5</v>
      </c>
      <c r="T129" s="338"/>
      <c r="U129" s="338"/>
      <c r="V129" s="338"/>
      <c r="W129" s="339"/>
      <c r="X129" s="361"/>
      <c r="Y129" s="361"/>
      <c r="Z129" s="338"/>
      <c r="AA129" s="338"/>
      <c r="AB129" s="338"/>
      <c r="AC129" s="338"/>
      <c r="AD129" s="338"/>
      <c r="AE129" s="338"/>
      <c r="AF129" s="338"/>
      <c r="AG129" s="338"/>
      <c r="AH129" s="338"/>
      <c r="AI129" s="338"/>
    </row>
    <row r="130" spans="1:35" ht="15" customHeight="1" x14ac:dyDescent="0.2">
      <c r="A130" s="365" t="s">
        <v>164</v>
      </c>
      <c r="B130" s="405"/>
      <c r="C130" s="404">
        <v>6010</v>
      </c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4">
        <v>13</v>
      </c>
      <c r="R130" s="96" t="str">
        <f>IFERROR(VLOOKUP($C130,[15]Nod!$A$3:$E$992,4,FALSE)," ")</f>
        <v>LSA34</v>
      </c>
      <c r="S130" s="96">
        <f>IFERROR(VLOOKUP($C130,[15]Nod!$A$3:$E$992,5,FALSE)," ")</f>
        <v>5</v>
      </c>
      <c r="T130" s="338"/>
      <c r="U130" s="338"/>
      <c r="V130" s="338"/>
      <c r="W130" s="339"/>
      <c r="X130" s="361"/>
      <c r="Y130" s="361"/>
      <c r="Z130" s="338"/>
      <c r="AA130" s="338"/>
      <c r="AB130" s="338"/>
      <c r="AC130" s="338"/>
      <c r="AD130" s="338"/>
      <c r="AE130" s="338"/>
      <c r="AF130" s="338"/>
      <c r="AG130" s="338"/>
      <c r="AH130" s="338"/>
      <c r="AI130" s="338"/>
    </row>
    <row r="131" spans="1:35" ht="15" customHeight="1" x14ac:dyDescent="0.2">
      <c r="A131" s="365" t="s">
        <v>165</v>
      </c>
      <c r="B131" s="405"/>
      <c r="C131" s="404">
        <v>6010</v>
      </c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94">
        <v>0</v>
      </c>
      <c r="R131" s="96" t="str">
        <f>IFERROR(VLOOKUP($C131,[15]Nod!$A$3:$E$992,4,FALSE)," ")</f>
        <v>LSA34</v>
      </c>
      <c r="S131" s="96">
        <f>IFERROR(VLOOKUP($C131,[15]Nod!$A$3:$E$992,5,FALSE)," ")</f>
        <v>5</v>
      </c>
      <c r="T131" s="338"/>
      <c r="U131" s="338"/>
      <c r="V131" s="338"/>
      <c r="W131" s="338"/>
      <c r="X131" s="338"/>
      <c r="Y131" s="338"/>
      <c r="Z131" s="338"/>
      <c r="AA131" s="338"/>
      <c r="AB131" s="338"/>
      <c r="AC131" s="338"/>
      <c r="AD131" s="338"/>
      <c r="AE131" s="338"/>
      <c r="AF131" s="338"/>
      <c r="AG131" s="338"/>
      <c r="AH131" s="338"/>
      <c r="AI131" s="338"/>
    </row>
    <row r="132" spans="1:35" ht="15" customHeight="1" x14ac:dyDescent="0.2">
      <c r="A132" s="80" t="s">
        <v>166</v>
      </c>
      <c r="B132" s="405"/>
      <c r="C132" s="404">
        <v>6010</v>
      </c>
      <c r="D132" s="87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94"/>
      <c r="R132" s="96" t="str">
        <f>IFERROR(VLOOKUP($C132,[15]Nod!$A$3:$E$992,4,FALSE)," ")</f>
        <v>LSA34</v>
      </c>
      <c r="S132" s="96">
        <f>IFERROR(VLOOKUP($C132,[15]Nod!$A$3:$E$992,5,FALSE)," ")</f>
        <v>5</v>
      </c>
      <c r="T132" s="338"/>
      <c r="U132" s="338"/>
      <c r="V132" s="338"/>
      <c r="W132" s="338"/>
      <c r="X132" s="338"/>
      <c r="Y132" s="338"/>
      <c r="Z132" s="338"/>
      <c r="AA132" s="338"/>
      <c r="AB132" s="338"/>
      <c r="AC132" s="338"/>
      <c r="AD132" s="338"/>
      <c r="AE132" s="338"/>
      <c r="AF132" s="338"/>
      <c r="AG132" s="338"/>
      <c r="AH132" s="338"/>
      <c r="AI132" s="338"/>
    </row>
    <row r="133" spans="1:35" ht="15" customHeight="1" x14ac:dyDescent="0.2">
      <c r="A133" s="80" t="s">
        <v>167</v>
      </c>
      <c r="B133" s="405"/>
      <c r="C133" s="404">
        <v>6010</v>
      </c>
      <c r="D133" s="87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94"/>
      <c r="R133" s="96" t="str">
        <f>IFERROR(VLOOKUP($C133,[15]Nod!$A$3:$E$992,4,FALSE)," ")</f>
        <v>LSA34</v>
      </c>
      <c r="S133" s="96">
        <f>IFERROR(VLOOKUP($C133,[15]Nod!$A$3:$E$992,5,FALSE)," ")</f>
        <v>5</v>
      </c>
      <c r="T133" s="338"/>
      <c r="U133" s="338"/>
      <c r="V133" s="338"/>
      <c r="W133" s="338"/>
      <c r="X133" s="338"/>
      <c r="Y133" s="338"/>
      <c r="Z133" s="338"/>
      <c r="AA133" s="338"/>
      <c r="AB133" s="338"/>
      <c r="AC133" s="338"/>
      <c r="AD133" s="338"/>
      <c r="AE133" s="338"/>
      <c r="AF133" s="338"/>
      <c r="AG133" s="338"/>
      <c r="AH133" s="338"/>
      <c r="AI133" s="338"/>
    </row>
    <row r="134" spans="1:35" ht="15" customHeight="1" x14ac:dyDescent="0.2">
      <c r="A134" s="80" t="s">
        <v>168</v>
      </c>
      <c r="B134" s="405"/>
      <c r="C134" s="404">
        <v>6010</v>
      </c>
      <c r="D134" s="87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94"/>
      <c r="R134" s="96" t="str">
        <f>IFERROR(VLOOKUP($C134,[15]Nod!$A$3:$E$992,4,FALSE)," ")</f>
        <v>LSA34</v>
      </c>
      <c r="S134" s="96">
        <f>IFERROR(VLOOKUP($C134,[15]Nod!$A$3:$E$992,5,FALSE)," ")</f>
        <v>5</v>
      </c>
      <c r="T134" s="338"/>
      <c r="U134" s="338"/>
      <c r="V134" s="338"/>
      <c r="W134" s="338"/>
      <c r="X134" s="338"/>
      <c r="Y134" s="338"/>
      <c r="Z134" s="338"/>
      <c r="AA134" s="338"/>
      <c r="AB134" s="338"/>
      <c r="AC134" s="338"/>
      <c r="AD134" s="338"/>
      <c r="AE134" s="338"/>
      <c r="AF134" s="338"/>
      <c r="AG134" s="338"/>
      <c r="AH134" s="338"/>
      <c r="AI134" s="338"/>
    </row>
    <row r="135" spans="1:35" ht="15" customHeight="1" x14ac:dyDescent="0.2">
      <c r="A135" s="80" t="s">
        <v>169</v>
      </c>
      <c r="B135" s="405"/>
      <c r="C135" s="404">
        <v>6010</v>
      </c>
      <c r="D135" s="87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94"/>
      <c r="R135" s="96" t="str">
        <f>IFERROR(VLOOKUP($C135,[15]Nod!$A$3:$E$992,4,FALSE)," ")</f>
        <v>LSA34</v>
      </c>
      <c r="S135" s="96">
        <f>IFERROR(VLOOKUP($C135,[15]Nod!$A$3:$E$992,5,FALSE)," ")</f>
        <v>5</v>
      </c>
      <c r="T135" s="338"/>
      <c r="U135" s="338"/>
      <c r="V135" s="338"/>
      <c r="W135" s="338"/>
      <c r="X135" s="338"/>
      <c r="Y135" s="338"/>
      <c r="Z135" s="338"/>
      <c r="AA135" s="338"/>
      <c r="AB135" s="338"/>
      <c r="AC135" s="338"/>
      <c r="AD135" s="338"/>
      <c r="AE135" s="338"/>
      <c r="AF135" s="338"/>
      <c r="AG135" s="338"/>
      <c r="AH135" s="338"/>
      <c r="AI135" s="338"/>
    </row>
    <row r="136" spans="1:35" ht="15" customHeight="1" x14ac:dyDescent="0.2">
      <c r="A136" s="80" t="s">
        <v>170</v>
      </c>
      <c r="B136" s="405"/>
      <c r="C136" s="404">
        <v>6010</v>
      </c>
      <c r="D136" s="87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94"/>
      <c r="R136" s="96" t="str">
        <f>IFERROR(VLOOKUP($C136,[15]Nod!$A$3:$E$992,4,FALSE)," ")</f>
        <v>LSA34</v>
      </c>
      <c r="S136" s="96">
        <f>IFERROR(VLOOKUP($C136,[15]Nod!$A$3:$E$992,5,FALSE)," ")</f>
        <v>5</v>
      </c>
      <c r="T136" s="338"/>
      <c r="U136" s="338"/>
      <c r="V136" s="338"/>
      <c r="W136" s="338"/>
      <c r="X136" s="338"/>
      <c r="Y136" s="338"/>
      <c r="Z136" s="338"/>
      <c r="AA136" s="338"/>
      <c r="AB136" s="338"/>
      <c r="AC136" s="338"/>
      <c r="AD136" s="338"/>
      <c r="AE136" s="338"/>
      <c r="AF136" s="338"/>
      <c r="AG136" s="338"/>
      <c r="AH136" s="338"/>
      <c r="AI136" s="338"/>
    </row>
    <row r="137" spans="1:35" ht="15" customHeight="1" x14ac:dyDescent="0.2">
      <c r="A137" s="80" t="s">
        <v>171</v>
      </c>
      <c r="B137" s="405"/>
      <c r="C137" s="404">
        <v>6010</v>
      </c>
      <c r="D137" s="87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94"/>
      <c r="R137" s="96" t="str">
        <f>IFERROR(VLOOKUP($C137,[15]Nod!$A$3:$E$992,4,FALSE)," ")</f>
        <v>LSA34</v>
      </c>
      <c r="S137" s="96">
        <f>IFERROR(VLOOKUP($C137,[15]Nod!$A$3:$E$992,5,FALSE)," ")</f>
        <v>5</v>
      </c>
      <c r="T137" s="338"/>
      <c r="U137" s="338"/>
      <c r="V137" s="338"/>
      <c r="W137" s="338"/>
      <c r="X137" s="338"/>
      <c r="Y137" s="338"/>
      <c r="Z137" s="338"/>
      <c r="AA137" s="338"/>
      <c r="AB137" s="338"/>
      <c r="AC137" s="338"/>
      <c r="AD137" s="338"/>
      <c r="AE137" s="338"/>
      <c r="AF137" s="338"/>
      <c r="AG137" s="338"/>
      <c r="AH137" s="338"/>
      <c r="AI137" s="338"/>
    </row>
    <row r="138" spans="1:35" ht="15" customHeight="1" x14ac:dyDescent="0.2">
      <c r="A138" s="80" t="s">
        <v>172</v>
      </c>
      <c r="B138" s="405"/>
      <c r="C138" s="404">
        <v>6010</v>
      </c>
      <c r="D138" s="87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94"/>
      <c r="R138" s="96" t="str">
        <f>IFERROR(VLOOKUP($C138,[15]Nod!$A$3:$E$992,4,FALSE)," ")</f>
        <v>LSA34</v>
      </c>
      <c r="S138" s="96">
        <f>IFERROR(VLOOKUP($C138,[15]Nod!$A$3:$E$992,5,FALSE)," ")</f>
        <v>5</v>
      </c>
      <c r="T138" s="338"/>
      <c r="U138" s="338"/>
      <c r="V138" s="338"/>
      <c r="W138" s="338"/>
      <c r="X138" s="338"/>
      <c r="Y138" s="338"/>
      <c r="Z138" s="338"/>
      <c r="AA138" s="338"/>
      <c r="AB138" s="338"/>
      <c r="AC138" s="338"/>
      <c r="AD138" s="338"/>
      <c r="AE138" s="338"/>
      <c r="AF138" s="338"/>
      <c r="AG138" s="338"/>
      <c r="AH138" s="338"/>
      <c r="AI138" s="338"/>
    </row>
    <row r="139" spans="1:35" ht="15" customHeight="1" x14ac:dyDescent="0.2">
      <c r="A139" s="80" t="s">
        <v>173</v>
      </c>
      <c r="B139" s="405"/>
      <c r="C139" s="404">
        <v>6010</v>
      </c>
      <c r="D139" s="87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94"/>
      <c r="R139" s="96" t="str">
        <f>IFERROR(VLOOKUP($C139,[15]Nod!$A$3:$E$992,4,FALSE)," ")</f>
        <v>LSA34</v>
      </c>
      <c r="S139" s="96">
        <f>IFERROR(VLOOKUP($C139,[15]Nod!$A$3:$E$992,5,FALSE)," ")</f>
        <v>5</v>
      </c>
      <c r="T139" s="338"/>
      <c r="U139" s="338"/>
      <c r="V139" s="338"/>
      <c r="W139" s="338"/>
      <c r="X139" s="338"/>
      <c r="Y139" s="338"/>
      <c r="Z139" s="338"/>
      <c r="AA139" s="338"/>
      <c r="AB139" s="338"/>
      <c r="AC139" s="338"/>
      <c r="AD139" s="338"/>
      <c r="AE139" s="338"/>
      <c r="AF139" s="338"/>
      <c r="AG139" s="338"/>
      <c r="AH139" s="338"/>
      <c r="AI139" s="338"/>
    </row>
    <row r="140" spans="1:35" ht="15" customHeight="1" x14ac:dyDescent="0.2">
      <c r="A140" s="80" t="s">
        <v>174</v>
      </c>
      <c r="B140" s="405"/>
      <c r="C140" s="404">
        <v>6240</v>
      </c>
      <c r="D140" s="87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94"/>
      <c r="R140" s="96" t="str">
        <f>IFERROR(VLOOKUP($C140,[15]Nod!$A$3:$E$992,4,FALSE)," ")</f>
        <v>EHIG230</v>
      </c>
      <c r="S140" s="96">
        <f>IFERROR(VLOOKUP($C140,[15]Nod!$A$3:$E$992,5,FALSE)," ")</f>
        <v>6</v>
      </c>
      <c r="T140" s="338"/>
      <c r="U140" s="338"/>
      <c r="V140" s="338"/>
      <c r="W140" s="338"/>
      <c r="X140" s="338"/>
      <c r="Y140" s="338"/>
      <c r="Z140" s="338"/>
      <c r="AA140" s="338"/>
      <c r="AB140" s="338"/>
      <c r="AC140" s="338"/>
      <c r="AD140" s="338"/>
      <c r="AE140" s="338"/>
      <c r="AF140" s="338"/>
      <c r="AG140" s="338"/>
      <c r="AH140" s="338"/>
      <c r="AI140" s="338"/>
    </row>
    <row r="141" spans="1:35" ht="15" customHeight="1" x14ac:dyDescent="0.2">
      <c r="A141" s="80" t="s">
        <v>175</v>
      </c>
      <c r="B141" s="405"/>
      <c r="C141" s="404">
        <v>6010</v>
      </c>
      <c r="D141" s="87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94"/>
      <c r="R141" s="96" t="str">
        <f>IFERROR(VLOOKUP($C141,[15]Nod!$A$3:$E$992,4,FALSE)," ")</f>
        <v>LSA34</v>
      </c>
      <c r="S141" s="96">
        <f>IFERROR(VLOOKUP($C141,[15]Nod!$A$3:$E$992,5,FALSE)," ")</f>
        <v>5</v>
      </c>
      <c r="T141" s="338"/>
      <c r="U141" s="338"/>
      <c r="V141" s="338"/>
      <c r="W141" s="338"/>
      <c r="X141" s="338"/>
      <c r="Y141" s="338"/>
      <c r="Z141" s="338"/>
      <c r="AA141" s="338"/>
      <c r="AB141" s="338"/>
      <c r="AC141" s="338"/>
      <c r="AD141" s="338"/>
      <c r="AE141" s="338"/>
      <c r="AF141" s="338"/>
      <c r="AG141" s="338"/>
      <c r="AH141" s="338"/>
      <c r="AI141" s="338"/>
    </row>
    <row r="142" spans="1:35" ht="15" customHeight="1" x14ac:dyDescent="0.2">
      <c r="A142" s="80" t="s">
        <v>176</v>
      </c>
      <c r="B142" s="405"/>
      <c r="C142" s="404">
        <v>6010</v>
      </c>
      <c r="D142" s="87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94"/>
      <c r="R142" s="96" t="str">
        <f>IFERROR(VLOOKUP($C142,[15]Nod!$A$3:$E$992,4,FALSE)," ")</f>
        <v>LSA34</v>
      </c>
      <c r="S142" s="96">
        <f>IFERROR(VLOOKUP($C142,[15]Nod!$A$3:$E$992,5,FALSE)," ")</f>
        <v>5</v>
      </c>
      <c r="T142" s="338"/>
      <c r="U142" s="338"/>
      <c r="V142" s="338"/>
      <c r="W142" s="338"/>
      <c r="X142" s="338"/>
      <c r="Y142" s="338"/>
      <c r="Z142" s="338"/>
      <c r="AA142" s="338"/>
      <c r="AB142" s="338"/>
      <c r="AC142" s="338"/>
      <c r="AD142" s="338"/>
      <c r="AE142" s="338"/>
      <c r="AF142" s="338"/>
      <c r="AG142" s="338"/>
      <c r="AH142" s="338"/>
      <c r="AI142" s="338"/>
    </row>
    <row r="143" spans="1:35" ht="15" customHeight="1" x14ac:dyDescent="0.2">
      <c r="A143" s="80" t="s">
        <v>177</v>
      </c>
      <c r="B143" s="405"/>
      <c r="C143" s="404">
        <v>6240</v>
      </c>
      <c r="D143" s="87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94"/>
      <c r="R143" s="96" t="str">
        <f>IFERROR(VLOOKUP($C143,[15]Nod!$A$3:$E$992,4,FALSE)," ")</f>
        <v>EHIG230</v>
      </c>
      <c r="S143" s="96">
        <f>IFERROR(VLOOKUP($C143,[15]Nod!$A$3:$E$992,5,FALSE)," ")</f>
        <v>6</v>
      </c>
      <c r="T143" s="338"/>
      <c r="U143" s="338"/>
      <c r="V143" s="338"/>
      <c r="W143" s="338"/>
      <c r="X143" s="338"/>
      <c r="Y143" s="338"/>
      <c r="Z143" s="338"/>
      <c r="AA143" s="338"/>
      <c r="AB143" s="338"/>
      <c r="AC143" s="338"/>
      <c r="AD143" s="338"/>
      <c r="AE143" s="338"/>
      <c r="AF143" s="338"/>
      <c r="AG143" s="338"/>
      <c r="AH143" s="338"/>
      <c r="AI143" s="338"/>
    </row>
    <row r="144" spans="1:35" ht="15" customHeight="1" x14ac:dyDescent="0.2">
      <c r="A144" s="80" t="s">
        <v>178</v>
      </c>
      <c r="B144" s="405"/>
      <c r="C144" s="404">
        <v>6010</v>
      </c>
      <c r="D144" s="87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94"/>
      <c r="R144" s="96" t="str">
        <f>IFERROR(VLOOKUP($C144,[15]Nod!$A$3:$E$992,4,FALSE)," ")</f>
        <v>LSA34</v>
      </c>
      <c r="S144" s="96">
        <f>IFERROR(VLOOKUP($C144,[15]Nod!$A$3:$E$992,5,FALSE)," ")</f>
        <v>5</v>
      </c>
      <c r="T144" s="338"/>
      <c r="U144" s="338"/>
      <c r="V144" s="338"/>
      <c r="W144" s="338"/>
      <c r="X144" s="338"/>
      <c r="Y144" s="338"/>
      <c r="Z144" s="338"/>
      <c r="AA144" s="338"/>
      <c r="AB144" s="338"/>
      <c r="AC144" s="338"/>
      <c r="AD144" s="338"/>
      <c r="AE144" s="338"/>
      <c r="AF144" s="338"/>
      <c r="AG144" s="338"/>
      <c r="AH144" s="338"/>
      <c r="AI144" s="338"/>
    </row>
    <row r="145" spans="1:35" ht="15" customHeight="1" x14ac:dyDescent="0.25">
      <c r="A145" s="365" t="s">
        <v>37</v>
      </c>
      <c r="B145" s="338"/>
      <c r="C145" s="368"/>
      <c r="D145" s="368"/>
      <c r="E145" s="389"/>
      <c r="F145" s="389"/>
      <c r="G145" s="389"/>
      <c r="H145" s="389"/>
      <c r="I145" s="389"/>
      <c r="J145" s="389"/>
      <c r="K145" s="389"/>
      <c r="L145" s="389"/>
      <c r="M145" s="389"/>
      <c r="N145" s="389"/>
      <c r="O145" s="389"/>
      <c r="P145" s="389"/>
      <c r="Q145" s="389"/>
      <c r="R145" s="96"/>
      <c r="S145" s="96"/>
      <c r="T145" s="338"/>
      <c r="U145" s="338"/>
      <c r="V145" s="338"/>
      <c r="W145" s="338"/>
      <c r="X145" s="338"/>
      <c r="Y145" s="338"/>
      <c r="Z145" s="338"/>
      <c r="AA145" s="338"/>
      <c r="AB145" s="338"/>
      <c r="AC145" s="338"/>
      <c r="AD145" s="338"/>
      <c r="AE145" s="338"/>
      <c r="AF145" s="338"/>
      <c r="AG145" s="338"/>
      <c r="AH145" s="338"/>
      <c r="AI145" s="338"/>
    </row>
    <row r="146" spans="1:35" ht="15" customHeight="1" x14ac:dyDescent="0.25">
      <c r="A146" s="378">
        <v>6</v>
      </c>
      <c r="B146" s="371"/>
      <c r="C146" s="372"/>
      <c r="D146" s="373">
        <f t="shared" ref="D146:I146" si="16">SUM(D147:D151)</f>
        <v>151.30000000000001</v>
      </c>
      <c r="E146" s="373">
        <f t="shared" si="16"/>
        <v>147</v>
      </c>
      <c r="F146" s="373">
        <f t="shared" si="16"/>
        <v>147</v>
      </c>
      <c r="G146" s="373">
        <f t="shared" si="16"/>
        <v>147</v>
      </c>
      <c r="H146" s="373">
        <f t="shared" si="16"/>
        <v>147</v>
      </c>
      <c r="I146" s="373">
        <f t="shared" si="16"/>
        <v>147</v>
      </c>
      <c r="J146" s="373">
        <f t="shared" ref="J146:P146" si="17">SUM(J147:J148)</f>
        <v>148</v>
      </c>
      <c r="K146" s="373">
        <f t="shared" si="17"/>
        <v>148</v>
      </c>
      <c r="L146" s="373">
        <f t="shared" si="17"/>
        <v>148</v>
      </c>
      <c r="M146" s="373">
        <f t="shared" si="17"/>
        <v>149</v>
      </c>
      <c r="N146" s="373">
        <f t="shared" si="17"/>
        <v>149</v>
      </c>
      <c r="O146" s="373">
        <f t="shared" si="17"/>
        <v>147</v>
      </c>
      <c r="P146" s="373">
        <f t="shared" si="17"/>
        <v>147</v>
      </c>
      <c r="Q146" s="385"/>
      <c r="R146" s="96"/>
      <c r="S146" s="96"/>
      <c r="T146" s="338"/>
      <c r="U146" s="338"/>
      <c r="V146" s="338"/>
      <c r="W146" s="338"/>
      <c r="X146" s="338"/>
      <c r="Y146" s="338"/>
      <c r="Z146" s="338"/>
      <c r="AA146" s="338"/>
      <c r="AB146" s="338"/>
      <c r="AC146" s="338"/>
      <c r="AD146" s="338"/>
      <c r="AE146" s="338"/>
      <c r="AF146" s="338"/>
      <c r="AG146" s="338"/>
      <c r="AH146" s="338"/>
      <c r="AI146" s="338"/>
    </row>
    <row r="147" spans="1:35" ht="15" customHeight="1" x14ac:dyDescent="0.25">
      <c r="A147" s="80" t="s">
        <v>179</v>
      </c>
      <c r="B147" s="338"/>
      <c r="C147" s="81">
        <v>6005</v>
      </c>
      <c r="D147" s="82">
        <v>147</v>
      </c>
      <c r="E147" s="363">
        <v>147</v>
      </c>
      <c r="F147" s="363">
        <v>147</v>
      </c>
      <c r="G147" s="363">
        <v>147</v>
      </c>
      <c r="H147" s="363">
        <v>147</v>
      </c>
      <c r="I147" s="363">
        <v>147</v>
      </c>
      <c r="J147" s="363">
        <v>148</v>
      </c>
      <c r="K147" s="363">
        <v>148</v>
      </c>
      <c r="L147" s="363">
        <v>148</v>
      </c>
      <c r="M147" s="363">
        <v>149</v>
      </c>
      <c r="N147" s="363">
        <v>149</v>
      </c>
      <c r="O147" s="363">
        <v>147</v>
      </c>
      <c r="P147" s="363">
        <v>147</v>
      </c>
      <c r="Q147" s="83">
        <v>0</v>
      </c>
      <c r="R147" s="96" t="str">
        <f>IFERROR(VLOOKUP($C147,[15]Nod!$A$3:$E$992,4,FALSE)," ")</f>
        <v>CHO230</v>
      </c>
      <c r="S147" s="96">
        <f>IFERROR(VLOOKUP($C147,[15]Nod!$A$3:$E$992,5,FALSE)," ")</f>
        <v>6</v>
      </c>
      <c r="T147" s="338"/>
      <c r="U147" s="338"/>
      <c r="V147" s="338"/>
      <c r="W147" s="338"/>
      <c r="X147" s="338"/>
      <c r="Y147" s="338"/>
      <c r="Z147" s="338"/>
      <c r="AA147" s="338"/>
      <c r="AB147" s="338"/>
      <c r="AC147" s="338"/>
      <c r="AD147" s="338"/>
      <c r="AE147" s="338"/>
      <c r="AF147" s="338"/>
      <c r="AG147" s="338"/>
      <c r="AH147" s="338"/>
      <c r="AI147" s="338"/>
    </row>
    <row r="148" spans="1:35" ht="15" customHeight="1" x14ac:dyDescent="0.25">
      <c r="A148" s="80" t="s">
        <v>180</v>
      </c>
      <c r="B148" s="338"/>
      <c r="C148" s="393">
        <v>6005</v>
      </c>
      <c r="D148" s="82">
        <v>4.3</v>
      </c>
      <c r="E148" s="363"/>
      <c r="F148" s="363"/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83">
        <v>0</v>
      </c>
      <c r="R148" s="96" t="str">
        <f>IFERROR(VLOOKUP($C148,[15]Nod!$A$3:$E$992,4,FALSE)," ")</f>
        <v>CHO230</v>
      </c>
      <c r="S148" s="96">
        <f>IFERROR(VLOOKUP($C148,[15]Nod!$A$3:$E$992,5,FALSE)," ")</f>
        <v>6</v>
      </c>
      <c r="T148" s="338"/>
      <c r="U148" s="338"/>
      <c r="V148" s="338"/>
      <c r="W148" s="338"/>
      <c r="X148" s="338"/>
      <c r="Y148" s="338"/>
      <c r="Z148" s="338"/>
      <c r="AA148" s="338"/>
      <c r="AB148" s="338"/>
      <c r="AC148" s="338"/>
      <c r="AD148" s="338"/>
      <c r="AE148" s="338"/>
      <c r="AF148" s="338"/>
      <c r="AG148" s="338"/>
      <c r="AH148" s="338"/>
      <c r="AI148" s="338"/>
    </row>
    <row r="149" spans="1:35" ht="15" customHeight="1" x14ac:dyDescent="0.25">
      <c r="A149" s="80" t="s">
        <v>181</v>
      </c>
      <c r="B149" s="338"/>
      <c r="C149" s="393">
        <v>6005</v>
      </c>
      <c r="D149" s="406"/>
      <c r="E149" s="363"/>
      <c r="F149" s="380"/>
      <c r="G149" s="380"/>
      <c r="H149" s="380"/>
      <c r="I149" s="380"/>
      <c r="J149" s="380"/>
      <c r="K149" s="363"/>
      <c r="L149" s="363"/>
      <c r="M149" s="363"/>
      <c r="N149" s="363"/>
      <c r="O149" s="363"/>
      <c r="P149" s="363"/>
      <c r="Q149" s="83"/>
      <c r="R149" s="96" t="str">
        <f>IFERROR(VLOOKUP($C149,[15]Nod!$A$3:$E$992,4,FALSE)," ")</f>
        <v>CHO230</v>
      </c>
      <c r="S149" s="96">
        <f>IFERROR(VLOOKUP($C149,[15]Nod!$A$3:$E$992,5,FALSE)," ")</f>
        <v>6</v>
      </c>
      <c r="T149" s="338"/>
      <c r="U149" s="338"/>
      <c r="V149" s="338"/>
      <c r="W149" s="338"/>
      <c r="X149" s="338"/>
      <c r="Y149" s="338"/>
      <c r="Z149" s="338"/>
      <c r="AA149" s="338"/>
      <c r="AB149" s="338"/>
      <c r="AC149" s="338"/>
      <c r="AD149" s="338"/>
      <c r="AE149" s="338"/>
      <c r="AF149" s="338"/>
      <c r="AG149" s="338"/>
      <c r="AH149" s="338"/>
      <c r="AI149" s="338"/>
    </row>
    <row r="150" spans="1:35" ht="15" customHeight="1" x14ac:dyDescent="0.25">
      <c r="A150" s="80" t="s">
        <v>182</v>
      </c>
      <c r="B150" s="338"/>
      <c r="C150" s="393">
        <v>6005</v>
      </c>
      <c r="D150" s="406"/>
      <c r="E150" s="363"/>
      <c r="F150" s="380"/>
      <c r="G150" s="380"/>
      <c r="H150" s="380"/>
      <c r="I150" s="380"/>
      <c r="J150" s="380"/>
      <c r="K150" s="363"/>
      <c r="L150" s="363"/>
      <c r="M150" s="363"/>
      <c r="N150" s="363"/>
      <c r="O150" s="363"/>
      <c r="P150" s="363"/>
      <c r="Q150" s="83"/>
      <c r="R150" s="96" t="str">
        <f>IFERROR(VLOOKUP($C150,[15]Nod!$A$3:$E$992,4,FALSE)," ")</f>
        <v>CHO230</v>
      </c>
      <c r="S150" s="96">
        <f>IFERROR(VLOOKUP($C150,[15]Nod!$A$3:$E$992,5,FALSE)," ")</f>
        <v>6</v>
      </c>
      <c r="T150" s="338"/>
      <c r="U150" s="338"/>
      <c r="V150" s="338"/>
      <c r="W150" s="338"/>
      <c r="X150" s="338"/>
      <c r="Y150" s="338"/>
      <c r="Z150" s="338"/>
      <c r="AA150" s="338"/>
      <c r="AB150" s="338"/>
      <c r="AC150" s="338"/>
      <c r="AD150" s="338"/>
      <c r="AE150" s="338"/>
      <c r="AF150" s="338"/>
      <c r="AG150" s="338"/>
      <c r="AH150" s="338"/>
      <c r="AI150" s="338"/>
    </row>
    <row r="151" spans="1:35" ht="15" customHeight="1" x14ac:dyDescent="0.25">
      <c r="A151" s="80" t="s">
        <v>183</v>
      </c>
      <c r="B151" s="79"/>
      <c r="C151" s="91">
        <v>6005</v>
      </c>
      <c r="D151" s="93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5">
        <v>13</v>
      </c>
      <c r="R151" s="96" t="str">
        <f>IFERROR(VLOOKUP($C151,[15]Nod!$A$3:$E$992,4,FALSE)," ")</f>
        <v>CHO230</v>
      </c>
      <c r="S151" s="96">
        <f>IFERROR(VLOOKUP($C151,[15]Nod!$A$3:$E$992,5,FALSE)," ")</f>
        <v>6</v>
      </c>
      <c r="T151" s="338"/>
      <c r="U151" s="338"/>
      <c r="V151" s="338"/>
      <c r="W151" s="338"/>
      <c r="X151" s="338"/>
      <c r="Y151" s="338"/>
      <c r="Z151" s="338"/>
      <c r="AA151" s="338"/>
      <c r="AB151" s="338"/>
      <c r="AC151" s="338"/>
      <c r="AD151" s="338"/>
      <c r="AE151" s="338"/>
      <c r="AF151" s="338"/>
      <c r="AG151" s="338"/>
      <c r="AH151" s="338"/>
      <c r="AI151" s="338"/>
    </row>
    <row r="152" spans="1:35" ht="15" customHeight="1" x14ac:dyDescent="0.25">
      <c r="A152" s="407" t="s">
        <v>37</v>
      </c>
      <c r="B152" s="367"/>
      <c r="C152" s="368"/>
      <c r="D152" s="338"/>
      <c r="E152" s="383"/>
      <c r="F152" s="81"/>
      <c r="G152" s="81"/>
      <c r="H152" s="81"/>
      <c r="I152" s="81"/>
      <c r="J152" s="81"/>
      <c r="K152" s="383"/>
      <c r="L152" s="383"/>
      <c r="M152" s="383"/>
      <c r="N152" s="383"/>
      <c r="O152" s="383"/>
      <c r="P152" s="383"/>
      <c r="Q152" s="383"/>
      <c r="R152" s="96" t="str">
        <f>IFERROR(VLOOKUP($C152,[15]Nod!$A$3:$E$992,4,FALSE)," ")</f>
        <v xml:space="preserve"> </v>
      </c>
      <c r="S152" s="96" t="str">
        <f>IFERROR(VLOOKUP($C152,[15]Nod!$A$3:$E$992,5,FALSE)," ")</f>
        <v xml:space="preserve"> </v>
      </c>
      <c r="T152" s="338"/>
      <c r="U152" s="338"/>
      <c r="V152" s="338"/>
      <c r="W152" s="338"/>
      <c r="X152" s="338"/>
      <c r="Y152" s="338"/>
      <c r="Z152" s="338"/>
      <c r="AA152" s="338"/>
      <c r="AB152" s="338"/>
      <c r="AC152" s="338"/>
      <c r="AD152" s="338"/>
      <c r="AE152" s="338"/>
      <c r="AF152" s="338"/>
      <c r="AG152" s="338"/>
      <c r="AH152" s="338"/>
      <c r="AI152" s="338"/>
    </row>
    <row r="153" spans="1:35" ht="15" customHeight="1" x14ac:dyDescent="0.25">
      <c r="A153" s="362">
        <v>7</v>
      </c>
      <c r="B153" s="357"/>
      <c r="C153" s="358"/>
      <c r="D153" s="359">
        <f t="shared" ref="D153:I153" si="18">SUM(D154:D158)</f>
        <v>159.33000000000001</v>
      </c>
      <c r="E153" s="359">
        <f t="shared" si="18"/>
        <v>119.47999999999999</v>
      </c>
      <c r="F153" s="359">
        <f t="shared" si="18"/>
        <v>119.47999999999999</v>
      </c>
      <c r="G153" s="359">
        <f t="shared" si="18"/>
        <v>119.47999999999999</v>
      </c>
      <c r="H153" s="359">
        <f t="shared" si="18"/>
        <v>119.47999999999999</v>
      </c>
      <c r="I153" s="359">
        <f t="shared" si="18"/>
        <v>65.95</v>
      </c>
      <c r="J153" s="359">
        <f t="shared" ref="J153:P153" si="19">SUM(J154:J156)</f>
        <v>65.95</v>
      </c>
      <c r="K153" s="359">
        <f t="shared" si="19"/>
        <v>105.8</v>
      </c>
      <c r="L153" s="359">
        <f t="shared" si="19"/>
        <v>105.8</v>
      </c>
      <c r="M153" s="359">
        <f t="shared" si="19"/>
        <v>105.8</v>
      </c>
      <c r="N153" s="359">
        <f t="shared" si="19"/>
        <v>105.8</v>
      </c>
      <c r="O153" s="359">
        <f t="shared" si="19"/>
        <v>105.8</v>
      </c>
      <c r="P153" s="359">
        <f t="shared" si="19"/>
        <v>105.8</v>
      </c>
      <c r="Q153" s="360"/>
      <c r="R153" s="96" t="str">
        <f>IFERROR(VLOOKUP($C153,[15]Nod!$A$3:$E$992,4,FALSE)," ")</f>
        <v xml:space="preserve"> </v>
      </c>
      <c r="S153" s="96" t="str">
        <f>IFERROR(VLOOKUP($C153,[15]Nod!$A$3:$E$992,5,FALSE)," ")</f>
        <v xml:space="preserve"> </v>
      </c>
      <c r="T153" s="338"/>
      <c r="U153" s="338"/>
      <c r="V153" s="338"/>
      <c r="W153" s="338"/>
      <c r="X153" s="338"/>
      <c r="Y153" s="338"/>
      <c r="Z153" s="338"/>
      <c r="AA153" s="338"/>
      <c r="AB153" s="338"/>
      <c r="AC153" s="338"/>
      <c r="AD153" s="338"/>
      <c r="AE153" s="338"/>
      <c r="AF153" s="338"/>
      <c r="AG153" s="338"/>
      <c r="AH153" s="338"/>
      <c r="AI153" s="338"/>
    </row>
    <row r="154" spans="1:35" ht="15" customHeight="1" x14ac:dyDescent="0.25">
      <c r="A154" s="80" t="s">
        <v>184</v>
      </c>
      <c r="B154" s="338"/>
      <c r="C154" s="81">
        <v>6018</v>
      </c>
      <c r="D154" s="82">
        <v>97.7</v>
      </c>
      <c r="E154" s="363">
        <v>57.85</v>
      </c>
      <c r="F154" s="363">
        <v>57.85</v>
      </c>
      <c r="G154" s="363">
        <v>57.85</v>
      </c>
      <c r="H154" s="363">
        <v>57.85</v>
      </c>
      <c r="I154" s="363">
        <v>57.85</v>
      </c>
      <c r="J154" s="363">
        <v>57.85</v>
      </c>
      <c r="K154" s="408">
        <v>97.7</v>
      </c>
      <c r="L154" s="408">
        <v>97.7</v>
      </c>
      <c r="M154" s="408">
        <v>97.7</v>
      </c>
      <c r="N154" s="408">
        <v>97.7</v>
      </c>
      <c r="O154" s="408">
        <v>97.7</v>
      </c>
      <c r="P154" s="408">
        <v>97.7</v>
      </c>
      <c r="Q154" s="83">
        <v>0</v>
      </c>
      <c r="R154" s="96" t="str">
        <f>IFERROR(VLOOKUP($C154,[15]Nod!$A$3:$E$992,4,FALSE)," ")</f>
        <v>CAC115</v>
      </c>
      <c r="S154" s="96">
        <f>IFERROR(VLOOKUP($C154,[15]Nod!$A$3:$E$992,5,FALSE)," ")</f>
        <v>7</v>
      </c>
      <c r="T154" s="338"/>
      <c r="U154" s="338"/>
      <c r="V154" s="338"/>
      <c r="W154" s="338"/>
      <c r="X154" s="338"/>
      <c r="Y154" s="338"/>
      <c r="Z154" s="338"/>
      <c r="AA154" s="338"/>
      <c r="AB154" s="338"/>
      <c r="AC154" s="338"/>
      <c r="AD154" s="338"/>
      <c r="AE154" s="338"/>
      <c r="AF154" s="338"/>
      <c r="AG154" s="338"/>
      <c r="AH154" s="338"/>
      <c r="AI154" s="338"/>
    </row>
    <row r="155" spans="1:35" ht="15" customHeight="1" x14ac:dyDescent="0.25">
      <c r="A155" s="80" t="s">
        <v>185</v>
      </c>
      <c r="B155" s="338"/>
      <c r="C155" s="81">
        <v>6171</v>
      </c>
      <c r="D155" s="82">
        <v>53.53</v>
      </c>
      <c r="E155" s="363">
        <v>53.53</v>
      </c>
      <c r="F155" s="363">
        <v>53.53</v>
      </c>
      <c r="G155" s="363">
        <v>53.53</v>
      </c>
      <c r="H155" s="363">
        <v>53.53</v>
      </c>
      <c r="I155" s="363">
        <v>0</v>
      </c>
      <c r="J155" s="363">
        <v>0</v>
      </c>
      <c r="K155" s="363">
        <v>0</v>
      </c>
      <c r="L155" s="363">
        <v>0</v>
      </c>
      <c r="M155" s="363">
        <v>0</v>
      </c>
      <c r="N155" s="363">
        <v>0</v>
      </c>
      <c r="O155" s="363">
        <v>0</v>
      </c>
      <c r="P155" s="363">
        <v>0</v>
      </c>
      <c r="Q155" s="83">
        <v>0</v>
      </c>
      <c r="R155" s="96" t="str">
        <f>IFERROR(VLOOKUP($C155,[15]Nod!$A$3:$E$992,4,FALSE)," ")</f>
        <v>PAC230</v>
      </c>
      <c r="S155" s="96">
        <f>IFERROR(VLOOKUP($C155,[15]Nod!$A$3:$E$992,5,FALSE)," ")</f>
        <v>7</v>
      </c>
      <c r="T155" s="338"/>
      <c r="U155" s="338"/>
      <c r="V155" s="338"/>
      <c r="W155" s="338"/>
      <c r="X155" s="338"/>
      <c r="Y155" s="338"/>
      <c r="Z155" s="338"/>
      <c r="AA155" s="338"/>
      <c r="AB155" s="338"/>
      <c r="AC155" s="338"/>
      <c r="AD155" s="338"/>
      <c r="AE155" s="338"/>
      <c r="AF155" s="338"/>
      <c r="AG155" s="338"/>
      <c r="AH155" s="338"/>
      <c r="AI155" s="338"/>
    </row>
    <row r="156" spans="1:35" ht="15" customHeight="1" x14ac:dyDescent="0.25">
      <c r="A156" s="365" t="s">
        <v>186</v>
      </c>
      <c r="B156" s="338"/>
      <c r="C156" s="81">
        <v>6002</v>
      </c>
      <c r="D156" s="82">
        <v>8.1</v>
      </c>
      <c r="E156" s="363">
        <v>8.1</v>
      </c>
      <c r="F156" s="363">
        <v>8.1</v>
      </c>
      <c r="G156" s="363">
        <v>8.1</v>
      </c>
      <c r="H156" s="363">
        <v>8.1</v>
      </c>
      <c r="I156" s="363">
        <v>8.1</v>
      </c>
      <c r="J156" s="363">
        <v>8.1</v>
      </c>
      <c r="K156" s="363">
        <v>8.1</v>
      </c>
      <c r="L156" s="363">
        <v>8.1</v>
      </c>
      <c r="M156" s="363">
        <v>8.1</v>
      </c>
      <c r="N156" s="363">
        <v>8.1</v>
      </c>
      <c r="O156" s="363">
        <v>8.1</v>
      </c>
      <c r="P156" s="363">
        <v>8.1</v>
      </c>
      <c r="Q156" s="83">
        <v>0</v>
      </c>
      <c r="R156" s="96" t="str">
        <f>IFERROR(VLOOKUP($C156,[15]Nod!$A$3:$E$992,4,FALSE)," ")</f>
        <v>PAN115</v>
      </c>
      <c r="S156" s="96">
        <f>IFERROR(VLOOKUP($C156,[15]Nod!$A$3:$E$992,5,FALSE)," ")</f>
        <v>7</v>
      </c>
      <c r="T156" s="338"/>
      <c r="U156" s="338"/>
      <c r="V156" s="338"/>
      <c r="W156" s="338"/>
      <c r="X156" s="338"/>
      <c r="Y156" s="338"/>
      <c r="Z156" s="338"/>
      <c r="AA156" s="338"/>
      <c r="AB156" s="338"/>
      <c r="AC156" s="338"/>
      <c r="AD156" s="338"/>
      <c r="AE156" s="338"/>
      <c r="AF156" s="338"/>
      <c r="AG156" s="338"/>
      <c r="AH156" s="338"/>
      <c r="AI156" s="338"/>
    </row>
    <row r="157" spans="1:35" ht="15" customHeight="1" x14ac:dyDescent="0.25">
      <c r="A157" s="95" t="s">
        <v>187</v>
      </c>
      <c r="B157" s="79"/>
      <c r="C157" s="90">
        <v>6018</v>
      </c>
      <c r="D157" s="93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94">
        <v>13</v>
      </c>
      <c r="R157" s="96" t="str">
        <f>IFERROR(VLOOKUP($C157,[15]Nod!$A$3:$E$992,4,FALSE)," ")</f>
        <v>CAC115</v>
      </c>
      <c r="S157" s="96">
        <f>IFERROR(VLOOKUP($C157,[15]Nod!$A$3:$E$992,5,FALSE)," ")</f>
        <v>7</v>
      </c>
      <c r="T157" s="338"/>
      <c r="U157" s="338"/>
      <c r="V157" s="338"/>
      <c r="W157" s="338"/>
      <c r="X157" s="338"/>
      <c r="Y157" s="338"/>
      <c r="Z157" s="338"/>
      <c r="AA157" s="338"/>
      <c r="AB157" s="338"/>
      <c r="AC157" s="338"/>
      <c r="AD157" s="338"/>
      <c r="AE157" s="338"/>
      <c r="AF157" s="338"/>
      <c r="AG157" s="338"/>
      <c r="AH157" s="338"/>
      <c r="AI157" s="338"/>
    </row>
    <row r="158" spans="1:35" ht="15" customHeight="1" x14ac:dyDescent="0.25">
      <c r="A158" s="95" t="s">
        <v>188</v>
      </c>
      <c r="B158" s="79"/>
      <c r="C158" s="90">
        <v>6171</v>
      </c>
      <c r="D158" s="93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94">
        <v>13</v>
      </c>
      <c r="R158" s="96" t="str">
        <f>IFERROR(VLOOKUP($C158,[15]Nod!$A$3:$E$992,4,FALSE)," ")</f>
        <v>PAC230</v>
      </c>
      <c r="S158" s="96">
        <f>IFERROR(VLOOKUP($C158,[15]Nod!$A$3:$E$992,5,FALSE)," ")</f>
        <v>7</v>
      </c>
      <c r="T158" s="338"/>
      <c r="U158" s="338"/>
      <c r="V158" s="338"/>
      <c r="W158" s="338"/>
      <c r="X158" s="338"/>
      <c r="Y158" s="338"/>
      <c r="Z158" s="338"/>
      <c r="AA158" s="338"/>
      <c r="AB158" s="338"/>
      <c r="AC158" s="338"/>
      <c r="AD158" s="338"/>
      <c r="AE158" s="338"/>
      <c r="AF158" s="338"/>
      <c r="AG158" s="338"/>
      <c r="AH158" s="338"/>
      <c r="AI158" s="338"/>
    </row>
    <row r="159" spans="1:35" ht="15" customHeight="1" x14ac:dyDescent="0.25">
      <c r="A159" s="365"/>
      <c r="B159" s="338"/>
      <c r="C159" s="81"/>
      <c r="D159" s="82"/>
      <c r="E159" s="363"/>
      <c r="F159" s="363"/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409"/>
      <c r="R159" s="96" t="str">
        <f>IFERROR(VLOOKUP($C159,[15]Nod!$A$3:$E$992,4,FALSE)," ")</f>
        <v xml:space="preserve"> </v>
      </c>
      <c r="S159" s="96" t="str">
        <f>IFERROR(VLOOKUP($C159,[15]Nod!$A$3:$E$992,5,FALSE)," ")</f>
        <v xml:space="preserve"> </v>
      </c>
      <c r="T159" s="338"/>
      <c r="U159" s="338"/>
      <c r="V159" s="338"/>
      <c r="W159" s="338"/>
      <c r="X159" s="338"/>
      <c r="Y159" s="338"/>
      <c r="Z159" s="338"/>
      <c r="AA159" s="338"/>
      <c r="AB159" s="338"/>
      <c r="AC159" s="338"/>
      <c r="AD159" s="338"/>
      <c r="AE159" s="338"/>
      <c r="AF159" s="338"/>
      <c r="AG159" s="338"/>
      <c r="AH159" s="338"/>
      <c r="AI159" s="338"/>
    </row>
    <row r="160" spans="1:35" ht="15" customHeight="1" x14ac:dyDescent="0.25">
      <c r="A160" s="378">
        <v>8</v>
      </c>
      <c r="B160" s="410"/>
      <c r="C160" s="372"/>
      <c r="D160" s="373">
        <f>SUM(D161)</f>
        <v>260</v>
      </c>
      <c r="E160" s="373">
        <v>260</v>
      </c>
      <c r="F160" s="373">
        <v>260</v>
      </c>
      <c r="G160" s="373">
        <v>260</v>
      </c>
      <c r="H160" s="373">
        <v>260</v>
      </c>
      <c r="I160" s="373">
        <f t="shared" ref="I160:P160" si="20">SUM(I161)</f>
        <v>260</v>
      </c>
      <c r="J160" s="373">
        <f t="shared" si="20"/>
        <v>260</v>
      </c>
      <c r="K160" s="373">
        <f t="shared" si="20"/>
        <v>260</v>
      </c>
      <c r="L160" s="373">
        <f t="shared" si="20"/>
        <v>260</v>
      </c>
      <c r="M160" s="373">
        <f t="shared" si="20"/>
        <v>260</v>
      </c>
      <c r="N160" s="373">
        <f t="shared" si="20"/>
        <v>260</v>
      </c>
      <c r="O160" s="373">
        <f t="shared" si="20"/>
        <v>260</v>
      </c>
      <c r="P160" s="373">
        <f t="shared" si="20"/>
        <v>260</v>
      </c>
      <c r="Q160" s="385"/>
      <c r="R160" s="96" t="str">
        <f>IFERROR(VLOOKUP($C160,[15]Nod!$A$3:$E$992,4,FALSE)," ")</f>
        <v xml:space="preserve"> </v>
      </c>
      <c r="S160" s="96" t="str">
        <f>IFERROR(VLOOKUP($C160,[15]Nod!$A$3:$E$992,5,FALSE)," ")</f>
        <v xml:space="preserve"> </v>
      </c>
      <c r="T160" s="338"/>
      <c r="U160" s="338"/>
      <c r="V160" s="338"/>
      <c r="W160" s="338"/>
      <c r="X160" s="338"/>
      <c r="Y160" s="338"/>
      <c r="Z160" s="338"/>
      <c r="AA160" s="338"/>
      <c r="AB160" s="338"/>
      <c r="AC160" s="338"/>
      <c r="AD160" s="338"/>
      <c r="AE160" s="338"/>
      <c r="AF160" s="338"/>
      <c r="AG160" s="338"/>
      <c r="AH160" s="338"/>
      <c r="AI160" s="338"/>
    </row>
    <row r="161" spans="1:35" ht="15" customHeight="1" x14ac:dyDescent="0.25">
      <c r="A161" s="80" t="s">
        <v>189</v>
      </c>
      <c r="B161" s="338"/>
      <c r="C161" s="81">
        <v>6100</v>
      </c>
      <c r="D161" s="82">
        <v>260</v>
      </c>
      <c r="E161" s="363">
        <v>260</v>
      </c>
      <c r="F161" s="363">
        <v>260</v>
      </c>
      <c r="G161" s="363">
        <v>260</v>
      </c>
      <c r="H161" s="363">
        <v>260</v>
      </c>
      <c r="I161" s="363">
        <v>260</v>
      </c>
      <c r="J161" s="363">
        <v>260</v>
      </c>
      <c r="K161" s="363">
        <v>260</v>
      </c>
      <c r="L161" s="363">
        <v>260</v>
      </c>
      <c r="M161" s="363">
        <v>260</v>
      </c>
      <c r="N161" s="363">
        <v>260</v>
      </c>
      <c r="O161" s="363">
        <v>260</v>
      </c>
      <c r="P161" s="363">
        <v>260</v>
      </c>
      <c r="Q161" s="83">
        <v>0</v>
      </c>
      <c r="R161" s="96" t="str">
        <f>IFERROR(VLOOKUP($C161,[15]Nod!$A$3:$E$992,4,FALSE)," ")</f>
        <v>BAY230</v>
      </c>
      <c r="S161" s="96">
        <f>IFERROR(VLOOKUP($C161,[15]Nod!$A$3:$E$992,5,FALSE)," ")</f>
        <v>8</v>
      </c>
      <c r="T161" s="338"/>
      <c r="U161" s="338"/>
      <c r="V161" s="338"/>
      <c r="W161" s="338"/>
      <c r="X161" s="338"/>
      <c r="Y161" s="338"/>
      <c r="Z161" s="338"/>
      <c r="AA161" s="338"/>
      <c r="AB161" s="338"/>
      <c r="AC161" s="338"/>
      <c r="AD161" s="338"/>
      <c r="AE161" s="338"/>
      <c r="AF161" s="338"/>
      <c r="AG161" s="338"/>
      <c r="AH161" s="338"/>
      <c r="AI161" s="338"/>
    </row>
    <row r="162" spans="1:35" ht="15" customHeight="1" x14ac:dyDescent="0.25">
      <c r="A162" s="365" t="s">
        <v>37</v>
      </c>
      <c r="B162" s="367"/>
      <c r="C162" s="368"/>
      <c r="D162" s="369"/>
      <c r="E162" s="369"/>
      <c r="F162" s="369"/>
      <c r="G162" s="369"/>
      <c r="H162" s="369"/>
      <c r="I162" s="369"/>
      <c r="J162" s="369"/>
      <c r="K162" s="369"/>
      <c r="L162" s="369"/>
      <c r="M162" s="369"/>
      <c r="N162" s="369"/>
      <c r="O162" s="369"/>
      <c r="P162" s="369"/>
      <c r="Q162" s="390"/>
      <c r="R162" s="96" t="str">
        <f>IFERROR(VLOOKUP($C162,[15]Nod!$A$3:$E$992,4,FALSE)," ")</f>
        <v xml:space="preserve"> </v>
      </c>
      <c r="S162" s="96" t="str">
        <f>IFERROR(VLOOKUP($C162,[15]Nod!$A$3:$E$992,5,FALSE)," ")</f>
        <v xml:space="preserve"> </v>
      </c>
      <c r="T162" s="338"/>
      <c r="U162" s="338"/>
      <c r="V162" s="338"/>
      <c r="W162" s="338"/>
      <c r="X162" s="338"/>
      <c r="Y162" s="338"/>
      <c r="Z162" s="338"/>
      <c r="AA162" s="338"/>
      <c r="AB162" s="338"/>
      <c r="AC162" s="338"/>
      <c r="AD162" s="338"/>
      <c r="AE162" s="338"/>
      <c r="AF162" s="338"/>
      <c r="AG162" s="338"/>
      <c r="AH162" s="338"/>
      <c r="AI162" s="338"/>
    </row>
    <row r="163" spans="1:35" ht="15" customHeight="1" x14ac:dyDescent="0.25">
      <c r="A163" s="378">
        <v>9</v>
      </c>
      <c r="B163" s="410"/>
      <c r="C163" s="411"/>
      <c r="D163" s="359">
        <f t="shared" ref="D163:P163" si="21">SUM(D164:D169)</f>
        <v>740.45</v>
      </c>
      <c r="E163" s="359">
        <f t="shared" si="21"/>
        <v>896.25</v>
      </c>
      <c r="F163" s="359">
        <f t="shared" si="21"/>
        <v>774.45</v>
      </c>
      <c r="G163" s="359">
        <f t="shared" si="21"/>
        <v>774.45</v>
      </c>
      <c r="H163" s="359">
        <f t="shared" si="21"/>
        <v>774.45</v>
      </c>
      <c r="I163" s="359">
        <f t="shared" si="21"/>
        <v>774.45</v>
      </c>
      <c r="J163" s="359">
        <f t="shared" si="21"/>
        <v>774.45</v>
      </c>
      <c r="K163" s="359">
        <f t="shared" si="21"/>
        <v>774.45</v>
      </c>
      <c r="L163" s="359">
        <f t="shared" si="21"/>
        <v>774.45</v>
      </c>
      <c r="M163" s="359">
        <f t="shared" si="21"/>
        <v>774.45</v>
      </c>
      <c r="N163" s="359">
        <f t="shared" si="21"/>
        <v>774.45</v>
      </c>
      <c r="O163" s="359">
        <f t="shared" si="21"/>
        <v>740.45</v>
      </c>
      <c r="P163" s="359">
        <f t="shared" si="21"/>
        <v>740.45</v>
      </c>
      <c r="Q163" s="360"/>
      <c r="R163" s="96" t="str">
        <f>IFERROR(VLOOKUP($C163,[15]Nod!$A$3:$E$992,4,FALSE)," ")</f>
        <v xml:space="preserve"> </v>
      </c>
      <c r="S163" s="96" t="str">
        <f>IFERROR(VLOOKUP($C163,[15]Nod!$A$3:$E$992,5,FALSE)," ")</f>
        <v xml:space="preserve"> </v>
      </c>
      <c r="T163" s="338"/>
      <c r="U163" s="338"/>
      <c r="V163" s="338"/>
      <c r="W163" s="338"/>
      <c r="X163" s="338"/>
      <c r="Y163" s="338"/>
      <c r="Z163" s="338"/>
      <c r="AA163" s="338"/>
      <c r="AB163" s="338"/>
      <c r="AC163" s="338"/>
      <c r="AD163" s="338"/>
      <c r="AE163" s="338"/>
      <c r="AF163" s="338"/>
      <c r="AG163" s="338"/>
      <c r="AH163" s="338"/>
      <c r="AI163" s="338"/>
    </row>
    <row r="164" spans="1:35" ht="15" customHeight="1" x14ac:dyDescent="0.25">
      <c r="A164" s="80" t="s">
        <v>190</v>
      </c>
      <c r="B164" s="338"/>
      <c r="C164" s="81">
        <v>6059</v>
      </c>
      <c r="D164" s="40">
        <v>68</v>
      </c>
      <c r="E164" s="363">
        <v>273</v>
      </c>
      <c r="F164" s="412">
        <v>102</v>
      </c>
      <c r="G164" s="412">
        <v>102</v>
      </c>
      <c r="H164" s="412">
        <v>102</v>
      </c>
      <c r="I164" s="412">
        <v>102</v>
      </c>
      <c r="J164" s="412">
        <v>102</v>
      </c>
      <c r="K164" s="412">
        <v>102</v>
      </c>
      <c r="L164" s="412">
        <v>102</v>
      </c>
      <c r="M164" s="412">
        <v>102</v>
      </c>
      <c r="N164" s="412">
        <v>102</v>
      </c>
      <c r="O164" s="412">
        <v>68</v>
      </c>
      <c r="P164" s="412">
        <v>68</v>
      </c>
      <c r="Q164" s="374">
        <v>0</v>
      </c>
      <c r="R164" s="96" t="str">
        <f>IFERROR(VLOOKUP($C164,[15]Nod!$A$3:$E$992,4,FALSE)," ")</f>
        <v>LM1115</v>
      </c>
      <c r="S164" s="96">
        <f>IFERROR(VLOOKUP($C164,[15]Nod!$A$3:$E$992,5,FALSE)," ")</f>
        <v>9</v>
      </c>
      <c r="T164" s="338"/>
      <c r="U164" s="338"/>
      <c r="V164" s="338"/>
      <c r="W164" s="338"/>
      <c r="X164" s="338"/>
      <c r="Y164" s="338"/>
      <c r="Z164" s="338"/>
      <c r="AA164" s="338"/>
      <c r="AB164" s="338"/>
      <c r="AC164" s="338"/>
      <c r="AD164" s="338"/>
      <c r="AE164" s="338"/>
      <c r="AF164" s="338"/>
      <c r="AG164" s="338"/>
      <c r="AH164" s="338"/>
      <c r="AI164" s="338"/>
    </row>
    <row r="165" spans="1:35" ht="15" customHeight="1" x14ac:dyDescent="0.25">
      <c r="A165" s="80" t="s">
        <v>191</v>
      </c>
      <c r="B165" s="338"/>
      <c r="C165" s="81">
        <v>6059</v>
      </c>
      <c r="D165" s="40">
        <v>87.2</v>
      </c>
      <c r="E165" s="363">
        <v>87.2</v>
      </c>
      <c r="F165" s="363">
        <v>87.2</v>
      </c>
      <c r="G165" s="363">
        <v>87.2</v>
      </c>
      <c r="H165" s="363">
        <v>87.2</v>
      </c>
      <c r="I165" s="363">
        <v>87.2</v>
      </c>
      <c r="J165" s="363">
        <v>87.2</v>
      </c>
      <c r="K165" s="363">
        <v>87.2</v>
      </c>
      <c r="L165" s="363">
        <v>87.2</v>
      </c>
      <c r="M165" s="363">
        <v>87.2</v>
      </c>
      <c r="N165" s="363">
        <v>87.2</v>
      </c>
      <c r="O165" s="363">
        <v>87.2</v>
      </c>
      <c r="P165" s="363">
        <v>87.2</v>
      </c>
      <c r="Q165" s="83">
        <v>0</v>
      </c>
      <c r="R165" s="96" t="str">
        <f>IFERROR(VLOOKUP($C165,[15]Nod!$A$3:$E$992,4,FALSE)," ")</f>
        <v>LM1115</v>
      </c>
      <c r="S165" s="96">
        <f>IFERROR(VLOOKUP($C165,[15]Nod!$A$3:$E$992,5,FALSE)," ")</f>
        <v>9</v>
      </c>
      <c r="T165" s="338"/>
      <c r="U165" s="338"/>
      <c r="V165" s="338"/>
      <c r="W165" s="338"/>
      <c r="X165" s="338"/>
      <c r="Y165" s="338"/>
      <c r="Z165" s="338"/>
      <c r="AA165" s="338"/>
      <c r="AB165" s="338"/>
      <c r="AC165" s="338"/>
      <c r="AD165" s="338"/>
      <c r="AE165" s="338"/>
      <c r="AF165" s="338"/>
      <c r="AG165" s="338"/>
      <c r="AH165" s="338"/>
      <c r="AI165" s="338"/>
    </row>
    <row r="166" spans="1:35" ht="15" customHeight="1" x14ac:dyDescent="0.25">
      <c r="A166" s="80" t="s">
        <v>192</v>
      </c>
      <c r="B166" s="338"/>
      <c r="C166" s="81">
        <v>6290</v>
      </c>
      <c r="D166" s="40">
        <v>150</v>
      </c>
      <c r="E166" s="400">
        <v>150</v>
      </c>
      <c r="F166" s="400">
        <v>150</v>
      </c>
      <c r="G166" s="400">
        <v>150</v>
      </c>
      <c r="H166" s="400">
        <v>150</v>
      </c>
      <c r="I166" s="400">
        <v>150</v>
      </c>
      <c r="J166" s="400">
        <v>150</v>
      </c>
      <c r="K166" s="400">
        <v>150</v>
      </c>
      <c r="L166" s="400">
        <v>150</v>
      </c>
      <c r="M166" s="400">
        <v>150</v>
      </c>
      <c r="N166" s="400">
        <v>150</v>
      </c>
      <c r="O166" s="400">
        <v>150</v>
      </c>
      <c r="P166" s="400">
        <v>150</v>
      </c>
      <c r="Q166" s="83">
        <v>0</v>
      </c>
      <c r="R166" s="96" t="str">
        <f>IFERROR(VLOOKUP($C166,[15]Nod!$A$3:$E$992,4,FALSE)," ")</f>
        <v>CATII115</v>
      </c>
      <c r="S166" s="96">
        <f>IFERROR(VLOOKUP($C166,[15]Nod!$A$3:$E$992,5,FALSE)," ")</f>
        <v>9</v>
      </c>
      <c r="T166" s="338"/>
      <c r="U166" s="338"/>
      <c r="V166" s="338"/>
      <c r="W166" s="338"/>
      <c r="X166" s="338"/>
      <c r="Y166" s="338"/>
      <c r="Z166" s="338"/>
      <c r="AA166" s="338"/>
      <c r="AB166" s="338"/>
      <c r="AC166" s="338"/>
      <c r="AD166" s="338"/>
      <c r="AE166" s="338"/>
      <c r="AF166" s="338"/>
      <c r="AG166" s="338"/>
      <c r="AH166" s="338"/>
      <c r="AI166" s="338"/>
    </row>
    <row r="167" spans="1:35" ht="15" customHeight="1" x14ac:dyDescent="0.25">
      <c r="A167" s="365" t="s">
        <v>193</v>
      </c>
      <c r="B167" s="338"/>
      <c r="C167" s="81">
        <v>6801</v>
      </c>
      <c r="D167" s="40">
        <v>381</v>
      </c>
      <c r="E167" s="363">
        <v>381</v>
      </c>
      <c r="F167" s="363">
        <v>381</v>
      </c>
      <c r="G167" s="363">
        <v>381</v>
      </c>
      <c r="H167" s="363">
        <v>381</v>
      </c>
      <c r="I167" s="363">
        <v>381</v>
      </c>
      <c r="J167" s="363">
        <v>381</v>
      </c>
      <c r="K167" s="363">
        <v>381</v>
      </c>
      <c r="L167" s="363">
        <v>381</v>
      </c>
      <c r="M167" s="363">
        <v>381</v>
      </c>
      <c r="N167" s="363">
        <v>381</v>
      </c>
      <c r="O167" s="363">
        <v>381</v>
      </c>
      <c r="P167" s="363">
        <v>381</v>
      </c>
      <c r="Q167" s="83">
        <v>0</v>
      </c>
      <c r="R167" s="96" t="str">
        <f>IFERROR(VLOOKUP($C167,[15]Nod!$A$3:$E$992,4,FALSE)," ")</f>
        <v>CNO230</v>
      </c>
      <c r="S167" s="96">
        <f>IFERROR(VLOOKUP($C167,[15]Nod!$A$3:$E$992,5,FALSE)," ")</f>
        <v>9</v>
      </c>
      <c r="T167" s="338"/>
      <c r="U167" s="338"/>
      <c r="V167" s="338"/>
      <c r="W167" s="338"/>
      <c r="X167" s="338"/>
      <c r="Y167" s="338"/>
      <c r="Z167" s="338"/>
      <c r="AA167" s="338"/>
      <c r="AB167" s="338"/>
      <c r="AC167" s="338"/>
      <c r="AD167" s="338"/>
      <c r="AE167" s="338"/>
      <c r="AF167" s="338"/>
      <c r="AG167" s="338"/>
      <c r="AH167" s="338"/>
      <c r="AI167" s="338"/>
    </row>
    <row r="168" spans="1:35" ht="15" customHeight="1" x14ac:dyDescent="0.25">
      <c r="A168" s="365" t="s">
        <v>194</v>
      </c>
      <c r="B168" s="338"/>
      <c r="C168" s="81">
        <v>6173</v>
      </c>
      <c r="D168" s="40">
        <v>5.05</v>
      </c>
      <c r="E168" s="363">
        <v>5.05</v>
      </c>
      <c r="F168" s="363">
        <v>5.05</v>
      </c>
      <c r="G168" s="363">
        <v>5.05</v>
      </c>
      <c r="H168" s="363">
        <v>5.05</v>
      </c>
      <c r="I168" s="363">
        <v>5.05</v>
      </c>
      <c r="J168" s="363">
        <v>5.05</v>
      </c>
      <c r="K168" s="363">
        <v>5.05</v>
      </c>
      <c r="L168" s="363">
        <v>5.05</v>
      </c>
      <c r="M168" s="363">
        <v>5.05</v>
      </c>
      <c r="N168" s="363">
        <v>5.05</v>
      </c>
      <c r="O168" s="363">
        <v>5.05</v>
      </c>
      <c r="P168" s="363">
        <v>5.05</v>
      </c>
      <c r="Q168" s="83"/>
      <c r="R168" s="96" t="str">
        <f>IFERROR(VLOOKUP($C168,[15]Nod!$A$3:$E$992,4,FALSE)," ")</f>
        <v>STR115</v>
      </c>
      <c r="S168" s="96">
        <f>IFERROR(VLOOKUP($C168,[15]Nod!$A$3:$E$992,5,FALSE)," ")</f>
        <v>9</v>
      </c>
      <c r="T168" s="338"/>
      <c r="U168" s="338"/>
      <c r="V168" s="338"/>
      <c r="W168" s="338"/>
      <c r="X168" s="338"/>
      <c r="Y168" s="338"/>
      <c r="Z168" s="338"/>
      <c r="AA168" s="338"/>
      <c r="AB168" s="338"/>
      <c r="AC168" s="338"/>
      <c r="AD168" s="338"/>
      <c r="AE168" s="338"/>
      <c r="AF168" s="338"/>
      <c r="AG168" s="338"/>
      <c r="AH168" s="338"/>
      <c r="AI168" s="338"/>
    </row>
    <row r="169" spans="1:35" ht="15" customHeight="1" x14ac:dyDescent="0.25">
      <c r="A169" s="365" t="s">
        <v>195</v>
      </c>
      <c r="B169" s="338"/>
      <c r="C169" s="81">
        <v>6173</v>
      </c>
      <c r="D169" s="40">
        <v>49.2</v>
      </c>
      <c r="E169" s="363">
        <v>0</v>
      </c>
      <c r="F169" s="412">
        <v>49.2</v>
      </c>
      <c r="G169" s="412">
        <v>49.2</v>
      </c>
      <c r="H169" s="412">
        <v>49.2</v>
      </c>
      <c r="I169" s="412">
        <v>49.2</v>
      </c>
      <c r="J169" s="412">
        <v>49.2</v>
      </c>
      <c r="K169" s="412">
        <v>49.2</v>
      </c>
      <c r="L169" s="412">
        <v>49.2</v>
      </c>
      <c r="M169" s="412">
        <v>49.2</v>
      </c>
      <c r="N169" s="412">
        <v>49.2</v>
      </c>
      <c r="O169" s="412">
        <v>49.2</v>
      </c>
      <c r="P169" s="412">
        <v>49.2</v>
      </c>
      <c r="Q169" s="374"/>
      <c r="R169" s="96" t="str">
        <f>IFERROR(VLOOKUP($C169,[15]Nod!$A$3:$E$992,4,FALSE)," ")</f>
        <v>STR115</v>
      </c>
      <c r="S169" s="96">
        <f>IFERROR(VLOOKUP($C169,[15]Nod!$A$3:$E$992,5,FALSE)," ")</f>
        <v>9</v>
      </c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</row>
    <row r="170" spans="1:35" ht="15" customHeight="1" x14ac:dyDescent="0.25">
      <c r="A170" s="365" t="s">
        <v>196</v>
      </c>
      <c r="B170" s="79"/>
      <c r="C170" s="90">
        <v>6173</v>
      </c>
      <c r="D170" s="82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413"/>
      <c r="Q170" s="85"/>
      <c r="R170" s="96" t="str">
        <f>IFERROR(VLOOKUP($C170,[15]Nod!$A$3:$E$992,4,FALSE)," ")</f>
        <v>STR115</v>
      </c>
      <c r="S170" s="96">
        <f>IFERROR(VLOOKUP($C170,[15]Nod!$A$3:$E$992,5,FALSE)," ")</f>
        <v>9</v>
      </c>
      <c r="T170" s="338"/>
      <c r="U170" s="338"/>
      <c r="V170" s="338"/>
      <c r="W170" s="338"/>
      <c r="X170" s="338"/>
      <c r="Y170" s="338"/>
      <c r="Z170" s="338"/>
      <c r="AA170" s="338"/>
      <c r="AB170" s="338"/>
      <c r="AC170" s="338"/>
      <c r="AD170" s="338"/>
      <c r="AE170" s="338"/>
      <c r="AF170" s="338"/>
      <c r="AG170" s="338"/>
      <c r="AH170" s="338"/>
      <c r="AI170" s="338"/>
    </row>
    <row r="171" spans="1:35" ht="15" customHeight="1" x14ac:dyDescent="0.25">
      <c r="A171" s="365" t="s">
        <v>37</v>
      </c>
      <c r="B171" s="338"/>
      <c r="C171" s="81"/>
      <c r="D171" s="383"/>
      <c r="E171" s="383"/>
      <c r="F171" s="383"/>
      <c r="G171" s="383"/>
      <c r="H171" s="383"/>
      <c r="I171" s="383"/>
      <c r="J171" s="383"/>
      <c r="K171" s="383"/>
      <c r="L171" s="383"/>
      <c r="M171" s="383"/>
      <c r="N171" s="383"/>
      <c r="O171" s="383"/>
      <c r="P171" s="383"/>
      <c r="Q171" s="83"/>
      <c r="R171" s="96" t="str">
        <f>IFERROR(VLOOKUP($C171,[15]Nod!$A$3:$E$992,4,FALSE)," ")</f>
        <v xml:space="preserve"> </v>
      </c>
      <c r="S171" s="96" t="str">
        <f>IFERROR(VLOOKUP($C171,[15]Nod!$A$3:$E$992,5,FALSE)," ")</f>
        <v xml:space="preserve"> </v>
      </c>
      <c r="T171" s="338"/>
      <c r="U171" s="338"/>
      <c r="V171" s="338"/>
      <c r="W171" s="338"/>
      <c r="X171" s="338"/>
      <c r="Y171" s="338"/>
      <c r="Z171" s="338"/>
      <c r="AA171" s="338"/>
      <c r="AB171" s="338"/>
      <c r="AC171" s="338"/>
      <c r="AD171" s="338"/>
      <c r="AE171" s="338"/>
      <c r="AF171" s="338"/>
      <c r="AG171" s="338"/>
      <c r="AH171" s="338"/>
      <c r="AI171" s="338"/>
    </row>
    <row r="172" spans="1:35" ht="15" customHeight="1" x14ac:dyDescent="0.25">
      <c r="A172" s="378">
        <v>10</v>
      </c>
      <c r="B172" s="410"/>
      <c r="C172" s="414"/>
      <c r="D172" s="373">
        <f>SUM(D173:D174)</f>
        <v>252.17</v>
      </c>
      <c r="E172" s="373">
        <v>252.17</v>
      </c>
      <c r="F172" s="373">
        <v>252.17</v>
      </c>
      <c r="G172" s="373">
        <v>252.17</v>
      </c>
      <c r="H172" s="373">
        <v>252.17</v>
      </c>
      <c r="I172" s="373">
        <f t="shared" ref="I172:P172" si="22">SUM(I173:I174)</f>
        <v>252.17</v>
      </c>
      <c r="J172" s="373">
        <f t="shared" si="22"/>
        <v>252.17</v>
      </c>
      <c r="K172" s="373">
        <f t="shared" si="22"/>
        <v>252.17</v>
      </c>
      <c r="L172" s="373">
        <f t="shared" si="22"/>
        <v>252.17</v>
      </c>
      <c r="M172" s="373">
        <f t="shared" si="22"/>
        <v>252.17</v>
      </c>
      <c r="N172" s="373">
        <f t="shared" si="22"/>
        <v>252.17</v>
      </c>
      <c r="O172" s="373">
        <f t="shared" si="22"/>
        <v>252.17</v>
      </c>
      <c r="P172" s="373">
        <f t="shared" si="22"/>
        <v>252.17</v>
      </c>
      <c r="Q172" s="385"/>
      <c r="R172" s="96" t="str">
        <f>IFERROR(VLOOKUP($C172,[15]Nod!$A$3:$E$992,4,FALSE)," ")</f>
        <v xml:space="preserve"> </v>
      </c>
      <c r="S172" s="96" t="str">
        <f>IFERROR(VLOOKUP($C172,[15]Nod!$A$3:$E$992,5,FALSE)," ")</f>
        <v xml:space="preserve"> </v>
      </c>
      <c r="T172" s="338"/>
      <c r="U172" s="338"/>
      <c r="V172" s="338"/>
      <c r="W172" s="338"/>
      <c r="X172" s="338"/>
      <c r="Y172" s="338"/>
      <c r="Z172" s="338"/>
      <c r="AA172" s="338"/>
      <c r="AB172" s="338"/>
      <c r="AC172" s="338"/>
      <c r="AD172" s="338"/>
      <c r="AE172" s="338"/>
      <c r="AF172" s="338"/>
      <c r="AG172" s="338"/>
      <c r="AH172" s="338"/>
      <c r="AI172" s="338"/>
    </row>
    <row r="173" spans="1:35" ht="15" customHeight="1" x14ac:dyDescent="0.25">
      <c r="A173" s="80" t="s">
        <v>197</v>
      </c>
      <c r="B173" s="338"/>
      <c r="C173" s="81">
        <v>6263</v>
      </c>
      <c r="D173" s="82">
        <v>222.17</v>
      </c>
      <c r="E173" s="363">
        <v>222.17</v>
      </c>
      <c r="F173" s="363">
        <v>222.17</v>
      </c>
      <c r="G173" s="363">
        <v>222.17</v>
      </c>
      <c r="H173" s="363">
        <v>222.17</v>
      </c>
      <c r="I173" s="363">
        <v>222.17</v>
      </c>
      <c r="J173" s="363">
        <v>222.17</v>
      </c>
      <c r="K173" s="363">
        <v>222.17</v>
      </c>
      <c r="L173" s="363">
        <v>222.17</v>
      </c>
      <c r="M173" s="363">
        <v>222.17</v>
      </c>
      <c r="N173" s="363">
        <v>222.17</v>
      </c>
      <c r="O173" s="363">
        <v>222.17</v>
      </c>
      <c r="P173" s="363">
        <v>222.17</v>
      </c>
      <c r="Q173" s="83">
        <v>0</v>
      </c>
      <c r="R173" s="96" t="str">
        <f>IFERROR(VLOOKUP($C173,[15]Nod!$A$3:$E$992,4,FALSE)," ")</f>
        <v>ESP230</v>
      </c>
      <c r="S173" s="96">
        <f>IFERROR(VLOOKUP($C173,[15]Nod!$A$3:$E$992,5,FALSE)," ")</f>
        <v>10</v>
      </c>
      <c r="T173" s="338"/>
      <c r="U173" s="338"/>
      <c r="V173" s="338"/>
      <c r="W173" s="338"/>
      <c r="X173" s="338"/>
      <c r="Y173" s="338"/>
      <c r="Z173" s="338"/>
      <c r="AA173" s="338"/>
      <c r="AB173" s="338"/>
      <c r="AC173" s="338"/>
      <c r="AD173" s="338"/>
      <c r="AE173" s="338"/>
      <c r="AF173" s="338"/>
      <c r="AG173" s="338"/>
      <c r="AH173" s="338"/>
      <c r="AI173" s="338"/>
    </row>
    <row r="174" spans="1:35" ht="15" customHeight="1" x14ac:dyDescent="0.25">
      <c r="A174" s="80" t="s">
        <v>198</v>
      </c>
      <c r="B174" s="338"/>
      <c r="C174" s="81">
        <v>6261</v>
      </c>
      <c r="D174" s="82">
        <v>30</v>
      </c>
      <c r="E174" s="363">
        <v>30</v>
      </c>
      <c r="F174" s="363">
        <v>30</v>
      </c>
      <c r="G174" s="363">
        <v>30</v>
      </c>
      <c r="H174" s="363">
        <v>30</v>
      </c>
      <c r="I174" s="363">
        <v>30</v>
      </c>
      <c r="J174" s="363">
        <v>30</v>
      </c>
      <c r="K174" s="363">
        <v>30</v>
      </c>
      <c r="L174" s="363">
        <v>30</v>
      </c>
      <c r="M174" s="363">
        <v>30</v>
      </c>
      <c r="N174" s="363">
        <v>30</v>
      </c>
      <c r="O174" s="363">
        <v>30</v>
      </c>
      <c r="P174" s="363">
        <v>30</v>
      </c>
      <c r="Q174" s="83">
        <v>0</v>
      </c>
      <c r="R174" s="96" t="str">
        <f>IFERROR(VLOOKUP($C174,[15]Nod!$A$3:$E$992,4,FALSE)," ")</f>
        <v>CHA115</v>
      </c>
      <c r="S174" s="96">
        <f>IFERROR(VLOOKUP($C174,[15]Nod!$A$3:$E$992,5,FALSE)," ")</f>
        <v>10</v>
      </c>
      <c r="T174" s="338"/>
      <c r="U174" s="338"/>
      <c r="V174" s="338"/>
      <c r="W174" s="338"/>
      <c r="X174" s="338"/>
      <c r="Y174" s="338"/>
      <c r="Z174" s="338"/>
      <c r="AA174" s="338"/>
      <c r="AB174" s="338"/>
      <c r="AC174" s="338"/>
      <c r="AD174" s="338"/>
      <c r="AE174" s="338"/>
      <c r="AF174" s="338"/>
      <c r="AG174" s="338"/>
      <c r="AH174" s="338"/>
      <c r="AI174" s="338"/>
    </row>
    <row r="175" spans="1:35" ht="15" customHeight="1" x14ac:dyDescent="0.25">
      <c r="A175" s="407" t="s">
        <v>37</v>
      </c>
      <c r="B175" s="367"/>
      <c r="C175" s="368"/>
      <c r="D175" s="369"/>
      <c r="E175" s="369"/>
      <c r="F175" s="369"/>
      <c r="G175" s="369"/>
      <c r="H175" s="369"/>
      <c r="I175" s="369"/>
      <c r="J175" s="369"/>
      <c r="K175" s="369"/>
      <c r="L175" s="369"/>
      <c r="M175" s="369"/>
      <c r="N175" s="369"/>
      <c r="O175" s="369"/>
      <c r="P175" s="369"/>
      <c r="Q175" s="390"/>
      <c r="R175" s="338"/>
      <c r="S175" s="338"/>
    </row>
    <row r="176" spans="1:35" ht="15" customHeight="1" x14ac:dyDescent="0.25">
      <c r="F176" s="337"/>
      <c r="G176" s="337"/>
      <c r="L176" s="337"/>
      <c r="M176" s="337"/>
    </row>
    <row r="177" spans="6:13" ht="15" customHeight="1" x14ac:dyDescent="0.25">
      <c r="F177" s="337"/>
      <c r="G177" s="337"/>
      <c r="L177" s="337"/>
      <c r="M177" s="337"/>
    </row>
    <row r="178" spans="6:13" ht="15" customHeight="1" x14ac:dyDescent="0.25">
      <c r="F178" s="337"/>
      <c r="G178" s="337"/>
      <c r="L178" s="337"/>
      <c r="M178" s="337"/>
    </row>
    <row r="179" spans="6:13" ht="15" customHeight="1" x14ac:dyDescent="0.25">
      <c r="F179" s="337"/>
      <c r="G179" s="337"/>
      <c r="L179" s="337"/>
      <c r="M179" s="337"/>
    </row>
    <row r="180" spans="6:13" ht="15" customHeight="1" x14ac:dyDescent="0.25">
      <c r="F180" s="337"/>
      <c r="G180" s="337"/>
      <c r="L180" s="337"/>
      <c r="M180" s="337"/>
    </row>
    <row r="181" spans="6:13" ht="15" customHeight="1" x14ac:dyDescent="0.25">
      <c r="F181" s="337"/>
      <c r="G181" s="337"/>
      <c r="L181" s="337"/>
      <c r="M181" s="337"/>
    </row>
    <row r="182" spans="6:13" ht="15" customHeight="1" x14ac:dyDescent="0.25">
      <c r="F182" s="337"/>
      <c r="G182" s="337"/>
      <c r="L182" s="337"/>
      <c r="M182" s="337"/>
    </row>
    <row r="183" spans="6:13" ht="15" customHeight="1" x14ac:dyDescent="0.25">
      <c r="F183" s="337"/>
      <c r="G183" s="337"/>
      <c r="L183" s="337"/>
      <c r="M183" s="337"/>
    </row>
    <row r="184" spans="6:13" ht="15" customHeight="1" x14ac:dyDescent="0.25">
      <c r="F184" s="337"/>
      <c r="G184" s="337"/>
      <c r="L184" s="337"/>
      <c r="M184" s="337"/>
    </row>
    <row r="185" spans="6:13" ht="15" customHeight="1" x14ac:dyDescent="0.25">
      <c r="F185" s="337"/>
      <c r="G185" s="337"/>
      <c r="L185" s="337"/>
      <c r="M185" s="337"/>
    </row>
    <row r="186" spans="6:13" ht="15" customHeight="1" x14ac:dyDescent="0.25">
      <c r="F186" s="337"/>
      <c r="G186" s="337"/>
      <c r="L186" s="337"/>
      <c r="M186" s="337"/>
    </row>
    <row r="187" spans="6:13" ht="15" customHeight="1" x14ac:dyDescent="0.25">
      <c r="F187" s="337"/>
      <c r="G187" s="337"/>
      <c r="L187" s="337"/>
      <c r="M187" s="337"/>
    </row>
    <row r="188" spans="6:13" ht="15" customHeight="1" x14ac:dyDescent="0.25">
      <c r="F188" s="337"/>
      <c r="G188" s="337"/>
      <c r="L188" s="337"/>
      <c r="M188" s="337"/>
    </row>
    <row r="189" spans="6:13" ht="15" customHeight="1" x14ac:dyDescent="0.25">
      <c r="F189" s="337"/>
      <c r="G189" s="337"/>
      <c r="L189" s="337"/>
      <c r="M189" s="337"/>
    </row>
    <row r="190" spans="6:13" ht="15" customHeight="1" x14ac:dyDescent="0.25">
      <c r="F190" s="337"/>
      <c r="G190" s="337"/>
      <c r="L190" s="337"/>
      <c r="M190" s="337"/>
    </row>
    <row r="191" spans="6:13" ht="15" customHeight="1" x14ac:dyDescent="0.25">
      <c r="F191" s="337"/>
      <c r="G191" s="337"/>
      <c r="L191" s="337"/>
      <c r="M191" s="337"/>
    </row>
    <row r="192" spans="6:13" ht="15" customHeight="1" x14ac:dyDescent="0.25">
      <c r="F192" s="337"/>
      <c r="G192" s="337"/>
      <c r="L192" s="337"/>
      <c r="M192" s="337"/>
    </row>
    <row r="193" spans="6:13" ht="15" customHeight="1" x14ac:dyDescent="0.25">
      <c r="F193" s="337"/>
      <c r="G193" s="337"/>
      <c r="L193" s="337"/>
      <c r="M193" s="337"/>
    </row>
    <row r="194" spans="6:13" ht="15" customHeight="1" x14ac:dyDescent="0.25">
      <c r="F194" s="337"/>
      <c r="G194" s="337"/>
      <c r="L194" s="337"/>
      <c r="M194" s="337"/>
    </row>
    <row r="195" spans="6:13" ht="15" customHeight="1" x14ac:dyDescent="0.25">
      <c r="F195" s="337"/>
      <c r="G195" s="337"/>
      <c r="L195" s="337"/>
      <c r="M195" s="337"/>
    </row>
    <row r="196" spans="6:13" ht="15" customHeight="1" x14ac:dyDescent="0.25">
      <c r="F196" s="337"/>
      <c r="G196" s="337"/>
      <c r="L196" s="337"/>
      <c r="M196" s="337"/>
    </row>
    <row r="197" spans="6:13" ht="15" customHeight="1" x14ac:dyDescent="0.25">
      <c r="F197" s="337"/>
      <c r="G197" s="337"/>
      <c r="L197" s="337"/>
      <c r="M197" s="337"/>
    </row>
    <row r="198" spans="6:13" ht="15" customHeight="1" x14ac:dyDescent="0.25">
      <c r="F198" s="337"/>
      <c r="G198" s="337"/>
      <c r="L198" s="337"/>
      <c r="M198" s="337"/>
    </row>
    <row r="199" spans="6:13" ht="15" customHeight="1" x14ac:dyDescent="0.25">
      <c r="F199" s="337"/>
      <c r="G199" s="337"/>
      <c r="L199" s="337"/>
      <c r="M199" s="337"/>
    </row>
    <row r="200" spans="6:13" ht="15" customHeight="1" x14ac:dyDescent="0.25">
      <c r="F200" s="337"/>
      <c r="G200" s="337"/>
      <c r="L200" s="337"/>
      <c r="M200" s="337"/>
    </row>
    <row r="201" spans="6:13" ht="15" customHeight="1" x14ac:dyDescent="0.25">
      <c r="F201" s="337"/>
      <c r="G201" s="337"/>
      <c r="L201" s="337"/>
      <c r="M201" s="337"/>
    </row>
    <row r="202" spans="6:13" ht="15" customHeight="1" x14ac:dyDescent="0.25">
      <c r="F202" s="337"/>
      <c r="G202" s="337"/>
      <c r="L202" s="337"/>
      <c r="M202" s="337"/>
    </row>
    <row r="203" spans="6:13" ht="15" customHeight="1" x14ac:dyDescent="0.25">
      <c r="F203" s="337"/>
      <c r="G203" s="337"/>
      <c r="L203" s="337"/>
      <c r="M203" s="337"/>
    </row>
    <row r="204" spans="6:13" ht="15" customHeight="1" x14ac:dyDescent="0.25">
      <c r="F204" s="337"/>
      <c r="G204" s="337"/>
      <c r="L204" s="337"/>
      <c r="M204" s="337"/>
    </row>
    <row r="205" spans="6:13" ht="15" customHeight="1" x14ac:dyDescent="0.25">
      <c r="F205" s="337"/>
      <c r="G205" s="337"/>
      <c r="L205" s="337"/>
      <c r="M205" s="337"/>
    </row>
    <row r="206" spans="6:13" ht="15" customHeight="1" x14ac:dyDescent="0.25">
      <c r="F206" s="337"/>
      <c r="G206" s="337"/>
      <c r="L206" s="337"/>
      <c r="M206" s="337"/>
    </row>
    <row r="207" spans="6:13" ht="15" customHeight="1" x14ac:dyDescent="0.25">
      <c r="F207" s="337"/>
      <c r="G207" s="337"/>
      <c r="L207" s="337"/>
      <c r="M207" s="337"/>
    </row>
    <row r="208" spans="6:13" ht="15" customHeight="1" x14ac:dyDescent="0.25">
      <c r="F208" s="337"/>
      <c r="G208" s="337"/>
      <c r="L208" s="337"/>
      <c r="M208" s="337"/>
    </row>
    <row r="209" spans="6:13" ht="15" customHeight="1" x14ac:dyDescent="0.25">
      <c r="F209" s="337"/>
      <c r="G209" s="337"/>
      <c r="L209" s="337"/>
      <c r="M209" s="337"/>
    </row>
    <row r="210" spans="6:13" ht="15" customHeight="1" x14ac:dyDescent="0.25">
      <c r="F210" s="337"/>
      <c r="G210" s="337"/>
      <c r="L210" s="337"/>
      <c r="M210" s="337"/>
    </row>
    <row r="211" spans="6:13" ht="15" customHeight="1" x14ac:dyDescent="0.25">
      <c r="F211" s="337"/>
      <c r="G211" s="337"/>
      <c r="L211" s="337"/>
      <c r="M211" s="337"/>
    </row>
    <row r="212" spans="6:13" ht="15" customHeight="1" x14ac:dyDescent="0.25">
      <c r="F212" s="337"/>
      <c r="G212" s="337"/>
      <c r="L212" s="337"/>
      <c r="M212" s="337"/>
    </row>
    <row r="213" spans="6:13" ht="15" customHeight="1" x14ac:dyDescent="0.25">
      <c r="F213" s="337"/>
      <c r="G213" s="337"/>
      <c r="L213" s="337"/>
      <c r="M213" s="337"/>
    </row>
    <row r="214" spans="6:13" ht="15" customHeight="1" x14ac:dyDescent="0.25">
      <c r="F214" s="337"/>
      <c r="G214" s="337"/>
      <c r="L214" s="337"/>
      <c r="M214" s="337"/>
    </row>
    <row r="215" spans="6:13" ht="15" customHeight="1" x14ac:dyDescent="0.25">
      <c r="F215" s="337"/>
      <c r="G215" s="337"/>
      <c r="L215" s="337"/>
      <c r="M215" s="337"/>
    </row>
    <row r="216" spans="6:13" ht="15" customHeight="1" x14ac:dyDescent="0.25">
      <c r="F216" s="337"/>
      <c r="G216" s="337"/>
      <c r="L216" s="337"/>
      <c r="M216" s="337"/>
    </row>
    <row r="217" spans="6:13" ht="15" customHeight="1" x14ac:dyDescent="0.25">
      <c r="L217" s="337"/>
      <c r="M217" s="337"/>
    </row>
    <row r="218" spans="6:13" ht="15" customHeight="1" x14ac:dyDescent="0.25">
      <c r="L218" s="337"/>
      <c r="M218" s="337"/>
    </row>
    <row r="219" spans="6:13" ht="15" customHeight="1" x14ac:dyDescent="0.25">
      <c r="L219" s="337"/>
      <c r="M219" s="337"/>
    </row>
    <row r="220" spans="6:13" ht="15" customHeight="1" x14ac:dyDescent="0.25">
      <c r="L220" s="337"/>
      <c r="M220" s="337"/>
    </row>
    <row r="221" spans="6:13" ht="15" customHeight="1" x14ac:dyDescent="0.25">
      <c r="L221" s="337"/>
      <c r="M221" s="337"/>
    </row>
  </sheetData>
  <mergeCells count="1">
    <mergeCell ref="A9:L9"/>
  </mergeCells>
  <conditionalFormatting sqref="B11:L12">
    <cfRule type="cellIs" dxfId="117" priority="82" operator="equal">
      <formula>0</formula>
    </cfRule>
  </conditionalFormatting>
  <conditionalFormatting sqref="D22:D29">
    <cfRule type="cellIs" dxfId="116" priority="48" operator="equal">
      <formula>0</formula>
    </cfRule>
  </conditionalFormatting>
  <conditionalFormatting sqref="D98:D144">
    <cfRule type="cellIs" dxfId="115" priority="29" operator="equal">
      <formula>0</formula>
    </cfRule>
  </conditionalFormatting>
  <conditionalFormatting sqref="D18:E21 E22 W25:AH27 AI29:AI31 W119:W130 D159:Q159">
    <cfRule type="cellIs" dxfId="114" priority="79" operator="equal">
      <formula>0</formula>
    </cfRule>
  </conditionalFormatting>
  <conditionalFormatting sqref="D154:P158">
    <cfRule type="cellIs" dxfId="113" priority="34" operator="equal">
      <formula>0</formula>
    </cfRule>
  </conditionalFormatting>
  <conditionalFormatting sqref="D30:Q35">
    <cfRule type="cellIs" dxfId="112" priority="49" operator="equal">
      <formula>0</formula>
    </cfRule>
  </conditionalFormatting>
  <conditionalFormatting sqref="D54:Q95">
    <cfRule type="cellIs" dxfId="111" priority="1" operator="equal">
      <formula>0</formula>
    </cfRule>
  </conditionalFormatting>
  <conditionalFormatting sqref="D147:Q151">
    <cfRule type="cellIs" dxfId="110" priority="36" operator="equal">
      <formula>0</formula>
    </cfRule>
  </conditionalFormatting>
  <conditionalFormatting sqref="D164:Q170">
    <cfRule type="cellIs" dxfId="109" priority="30" operator="equal">
      <formula>0</formula>
    </cfRule>
  </conditionalFormatting>
  <conditionalFormatting sqref="E123:P144">
    <cfRule type="cellIs" dxfId="108" priority="3" operator="equal">
      <formula>0</formula>
    </cfRule>
  </conditionalFormatting>
  <conditionalFormatting sqref="E23:Q29">
    <cfRule type="cellIs" dxfId="107" priority="28" operator="equal">
      <formula>0</formula>
    </cfRule>
  </conditionalFormatting>
  <conditionalFormatting sqref="E98:Q122">
    <cfRule type="cellIs" dxfId="106" priority="7" operator="equal">
      <formula>0</formula>
    </cfRule>
  </conditionalFormatting>
  <conditionalFormatting sqref="F18:Q22 D38:Q43 D46:Q51 D161:Q162 D173:Q175">
    <cfRule type="cellIs" dxfId="105" priority="51" operator="equal">
      <formula>0</formula>
    </cfRule>
  </conditionalFormatting>
  <conditionalFormatting sqref="M11:M12">
    <cfRule type="cellIs" dxfId="104" priority="80" stopIfTrue="1" operator="notEqual">
      <formula>L11</formula>
    </cfRule>
  </conditionalFormatting>
  <conditionalFormatting sqref="Q123:Q129">
    <cfRule type="cellIs" dxfId="103" priority="42" operator="equal">
      <formula>0</formula>
    </cfRule>
  </conditionalFormatting>
  <conditionalFormatting sqref="Q154:Q156">
    <cfRule type="cellIs" dxfId="102" priority="67" operator="equal">
      <formula>0</formula>
    </cfRule>
  </conditionalFormatting>
  <conditionalFormatting sqref="W18:AH21">
    <cfRule type="cellIs" dxfId="101" priority="70" operator="equal">
      <formula>0</formula>
    </cfRule>
  </conditionalFormatting>
  <conditionalFormatting sqref="W23:AH23 W29:AH32 W44:AI49 W73:AI79 W81:AH83">
    <cfRule type="cellIs" dxfId="100" priority="72" operator="equal">
      <formula>0</formula>
    </cfRule>
  </conditionalFormatting>
  <conditionalFormatting sqref="W34:AI42">
    <cfRule type="cellIs" dxfId="99" priority="68" operator="equal">
      <formula>0</formula>
    </cfRule>
  </conditionalFormatting>
  <conditionalFormatting sqref="W51:AI67">
    <cfRule type="cellIs" dxfId="98" priority="55" operator="equal">
      <formula>0</formula>
    </cfRule>
  </conditionalFormatting>
  <conditionalFormatting sqref="W69:AI71">
    <cfRule type="cellIs" dxfId="97" priority="71" operator="equal">
      <formula>0</formula>
    </cfRule>
  </conditionalFormatting>
  <conditionalFormatting sqref="AI18:AI20 AI25:AI26 AI81:AI84">
    <cfRule type="cellIs" dxfId="96" priority="73" operator="equal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5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98"/>
  <sheetViews>
    <sheetView zoomScale="70" zoomScaleNormal="70" workbookViewId="0">
      <selection activeCell="P25" sqref="P25"/>
    </sheetView>
  </sheetViews>
  <sheetFormatPr baseColWidth="10" defaultColWidth="8.7109375" defaultRowHeight="15" customHeight="1" x14ac:dyDescent="0.25"/>
  <cols>
    <col min="1" max="1" width="43.7109375" style="38" customWidth="1"/>
    <col min="2" max="2" width="12.5703125" style="38" customWidth="1"/>
    <col min="3" max="3" width="8.7109375" style="38"/>
    <col min="4" max="4" width="11.42578125" style="38" customWidth="1"/>
    <col min="5" max="5" width="9.42578125" style="38" customWidth="1"/>
    <col min="6" max="6" width="9.7109375" style="38" bestFit="1" customWidth="1"/>
    <col min="7" max="7" width="8.7109375" style="38"/>
    <col min="8" max="8" width="25" style="38" customWidth="1"/>
    <col min="9" max="9" width="9.5703125" style="38" customWidth="1"/>
    <col min="10" max="11" width="8.7109375" style="38"/>
    <col min="12" max="12" width="11.28515625" style="38" bestFit="1" customWidth="1"/>
    <col min="13" max="13" width="12.140625" style="38" customWidth="1"/>
    <col min="14" max="14" width="13.7109375" style="38" customWidth="1"/>
    <col min="15" max="15" width="26.5703125" style="38" bestFit="1" customWidth="1"/>
    <col min="16" max="16" width="29.28515625" style="38" bestFit="1" customWidth="1"/>
    <col min="17" max="26" width="6.7109375" style="38" customWidth="1"/>
    <col min="27" max="256" width="8.7109375" style="38"/>
    <col min="257" max="257" width="43.7109375" style="38" customWidth="1"/>
    <col min="258" max="258" width="12.5703125" style="38" customWidth="1"/>
    <col min="259" max="259" width="8.7109375" style="38"/>
    <col min="260" max="260" width="11.42578125" style="38" customWidth="1"/>
    <col min="261" max="261" width="9.42578125" style="38" customWidth="1"/>
    <col min="262" max="262" width="9.7109375" style="38" bestFit="1" customWidth="1"/>
    <col min="263" max="263" width="8.7109375" style="38"/>
    <col min="264" max="264" width="25" style="38" customWidth="1"/>
    <col min="265" max="265" width="9.5703125" style="38" customWidth="1"/>
    <col min="266" max="267" width="8.7109375" style="38"/>
    <col min="268" max="268" width="11.28515625" style="38" bestFit="1" customWidth="1"/>
    <col min="269" max="269" width="12.140625" style="38" customWidth="1"/>
    <col min="270" max="270" width="13.7109375" style="38" customWidth="1"/>
    <col min="271" max="271" width="26.5703125" style="38" bestFit="1" customWidth="1"/>
    <col min="272" max="272" width="29.28515625" style="38" bestFit="1" customWidth="1"/>
    <col min="273" max="282" width="6.7109375" style="38" customWidth="1"/>
    <col min="283" max="512" width="8.7109375" style="38"/>
    <col min="513" max="513" width="43.7109375" style="38" customWidth="1"/>
    <col min="514" max="514" width="12.5703125" style="38" customWidth="1"/>
    <col min="515" max="515" width="8.7109375" style="38"/>
    <col min="516" max="516" width="11.42578125" style="38" customWidth="1"/>
    <col min="517" max="517" width="9.42578125" style="38" customWidth="1"/>
    <col min="518" max="518" width="9.7109375" style="38" bestFit="1" customWidth="1"/>
    <col min="519" max="519" width="8.7109375" style="38"/>
    <col min="520" max="520" width="25" style="38" customWidth="1"/>
    <col min="521" max="521" width="9.5703125" style="38" customWidth="1"/>
    <col min="522" max="523" width="8.7109375" style="38"/>
    <col min="524" max="524" width="11.28515625" style="38" bestFit="1" customWidth="1"/>
    <col min="525" max="525" width="12.140625" style="38" customWidth="1"/>
    <col min="526" max="526" width="13.7109375" style="38" customWidth="1"/>
    <col min="527" max="527" width="26.5703125" style="38" bestFit="1" customWidth="1"/>
    <col min="528" max="528" width="29.28515625" style="38" bestFit="1" customWidth="1"/>
    <col min="529" max="538" width="6.7109375" style="38" customWidth="1"/>
    <col min="539" max="768" width="8.7109375" style="38"/>
    <col min="769" max="769" width="43.7109375" style="38" customWidth="1"/>
    <col min="770" max="770" width="12.5703125" style="38" customWidth="1"/>
    <col min="771" max="771" width="8.7109375" style="38"/>
    <col min="772" max="772" width="11.42578125" style="38" customWidth="1"/>
    <col min="773" max="773" width="9.42578125" style="38" customWidth="1"/>
    <col min="774" max="774" width="9.7109375" style="38" bestFit="1" customWidth="1"/>
    <col min="775" max="775" width="8.7109375" style="38"/>
    <col min="776" max="776" width="25" style="38" customWidth="1"/>
    <col min="777" max="777" width="9.5703125" style="38" customWidth="1"/>
    <col min="778" max="779" width="8.7109375" style="38"/>
    <col min="780" max="780" width="11.28515625" style="38" bestFit="1" customWidth="1"/>
    <col min="781" max="781" width="12.140625" style="38" customWidth="1"/>
    <col min="782" max="782" width="13.7109375" style="38" customWidth="1"/>
    <col min="783" max="783" width="26.5703125" style="38" bestFit="1" customWidth="1"/>
    <col min="784" max="784" width="29.28515625" style="38" bestFit="1" customWidth="1"/>
    <col min="785" max="794" width="6.7109375" style="38" customWidth="1"/>
    <col min="795" max="1024" width="8.7109375" style="38"/>
    <col min="1025" max="1025" width="43.7109375" style="38" customWidth="1"/>
    <col min="1026" max="1026" width="12.5703125" style="38" customWidth="1"/>
    <col min="1027" max="1027" width="8.7109375" style="38"/>
    <col min="1028" max="1028" width="11.42578125" style="38" customWidth="1"/>
    <col min="1029" max="1029" width="9.42578125" style="38" customWidth="1"/>
    <col min="1030" max="1030" width="9.7109375" style="38" bestFit="1" customWidth="1"/>
    <col min="1031" max="1031" width="8.7109375" style="38"/>
    <col min="1032" max="1032" width="25" style="38" customWidth="1"/>
    <col min="1033" max="1033" width="9.5703125" style="38" customWidth="1"/>
    <col min="1034" max="1035" width="8.7109375" style="38"/>
    <col min="1036" max="1036" width="11.28515625" style="38" bestFit="1" customWidth="1"/>
    <col min="1037" max="1037" width="12.140625" style="38" customWidth="1"/>
    <col min="1038" max="1038" width="13.7109375" style="38" customWidth="1"/>
    <col min="1039" max="1039" width="26.5703125" style="38" bestFit="1" customWidth="1"/>
    <col min="1040" max="1040" width="29.28515625" style="38" bestFit="1" customWidth="1"/>
    <col min="1041" max="1050" width="6.7109375" style="38" customWidth="1"/>
    <col min="1051" max="1280" width="8.7109375" style="38"/>
    <col min="1281" max="1281" width="43.7109375" style="38" customWidth="1"/>
    <col min="1282" max="1282" width="12.5703125" style="38" customWidth="1"/>
    <col min="1283" max="1283" width="8.7109375" style="38"/>
    <col min="1284" max="1284" width="11.42578125" style="38" customWidth="1"/>
    <col min="1285" max="1285" width="9.42578125" style="38" customWidth="1"/>
    <col min="1286" max="1286" width="9.7109375" style="38" bestFit="1" customWidth="1"/>
    <col min="1287" max="1287" width="8.7109375" style="38"/>
    <col min="1288" max="1288" width="25" style="38" customWidth="1"/>
    <col min="1289" max="1289" width="9.5703125" style="38" customWidth="1"/>
    <col min="1290" max="1291" width="8.7109375" style="38"/>
    <col min="1292" max="1292" width="11.28515625" style="38" bestFit="1" customWidth="1"/>
    <col min="1293" max="1293" width="12.140625" style="38" customWidth="1"/>
    <col min="1294" max="1294" width="13.7109375" style="38" customWidth="1"/>
    <col min="1295" max="1295" width="26.5703125" style="38" bestFit="1" customWidth="1"/>
    <col min="1296" max="1296" width="29.28515625" style="38" bestFit="1" customWidth="1"/>
    <col min="1297" max="1306" width="6.7109375" style="38" customWidth="1"/>
    <col min="1307" max="1536" width="8.7109375" style="38"/>
    <col min="1537" max="1537" width="43.7109375" style="38" customWidth="1"/>
    <col min="1538" max="1538" width="12.5703125" style="38" customWidth="1"/>
    <col min="1539" max="1539" width="8.7109375" style="38"/>
    <col min="1540" max="1540" width="11.42578125" style="38" customWidth="1"/>
    <col min="1541" max="1541" width="9.42578125" style="38" customWidth="1"/>
    <col min="1542" max="1542" width="9.7109375" style="38" bestFit="1" customWidth="1"/>
    <col min="1543" max="1543" width="8.7109375" style="38"/>
    <col min="1544" max="1544" width="25" style="38" customWidth="1"/>
    <col min="1545" max="1545" width="9.5703125" style="38" customWidth="1"/>
    <col min="1546" max="1547" width="8.7109375" style="38"/>
    <col min="1548" max="1548" width="11.28515625" style="38" bestFit="1" customWidth="1"/>
    <col min="1549" max="1549" width="12.140625" style="38" customWidth="1"/>
    <col min="1550" max="1550" width="13.7109375" style="38" customWidth="1"/>
    <col min="1551" max="1551" width="26.5703125" style="38" bestFit="1" customWidth="1"/>
    <col min="1552" max="1552" width="29.28515625" style="38" bestFit="1" customWidth="1"/>
    <col min="1553" max="1562" width="6.7109375" style="38" customWidth="1"/>
    <col min="1563" max="1792" width="8.7109375" style="38"/>
    <col min="1793" max="1793" width="43.7109375" style="38" customWidth="1"/>
    <col min="1794" max="1794" width="12.5703125" style="38" customWidth="1"/>
    <col min="1795" max="1795" width="8.7109375" style="38"/>
    <col min="1796" max="1796" width="11.42578125" style="38" customWidth="1"/>
    <col min="1797" max="1797" width="9.42578125" style="38" customWidth="1"/>
    <col min="1798" max="1798" width="9.7109375" style="38" bestFit="1" customWidth="1"/>
    <col min="1799" max="1799" width="8.7109375" style="38"/>
    <col min="1800" max="1800" width="25" style="38" customWidth="1"/>
    <col min="1801" max="1801" width="9.5703125" style="38" customWidth="1"/>
    <col min="1802" max="1803" width="8.7109375" style="38"/>
    <col min="1804" max="1804" width="11.28515625" style="38" bestFit="1" customWidth="1"/>
    <col min="1805" max="1805" width="12.140625" style="38" customWidth="1"/>
    <col min="1806" max="1806" width="13.7109375" style="38" customWidth="1"/>
    <col min="1807" max="1807" width="26.5703125" style="38" bestFit="1" customWidth="1"/>
    <col min="1808" max="1808" width="29.28515625" style="38" bestFit="1" customWidth="1"/>
    <col min="1809" max="1818" width="6.7109375" style="38" customWidth="1"/>
    <col min="1819" max="2048" width="8.7109375" style="38"/>
    <col min="2049" max="2049" width="43.7109375" style="38" customWidth="1"/>
    <col min="2050" max="2050" width="12.5703125" style="38" customWidth="1"/>
    <col min="2051" max="2051" width="8.7109375" style="38"/>
    <col min="2052" max="2052" width="11.42578125" style="38" customWidth="1"/>
    <col min="2053" max="2053" width="9.42578125" style="38" customWidth="1"/>
    <col min="2054" max="2054" width="9.7109375" style="38" bestFit="1" customWidth="1"/>
    <col min="2055" max="2055" width="8.7109375" style="38"/>
    <col min="2056" max="2056" width="25" style="38" customWidth="1"/>
    <col min="2057" max="2057" width="9.5703125" style="38" customWidth="1"/>
    <col min="2058" max="2059" width="8.7109375" style="38"/>
    <col min="2060" max="2060" width="11.28515625" style="38" bestFit="1" customWidth="1"/>
    <col min="2061" max="2061" width="12.140625" style="38" customWidth="1"/>
    <col min="2062" max="2062" width="13.7109375" style="38" customWidth="1"/>
    <col min="2063" max="2063" width="26.5703125" style="38" bestFit="1" customWidth="1"/>
    <col min="2064" max="2064" width="29.28515625" style="38" bestFit="1" customWidth="1"/>
    <col min="2065" max="2074" width="6.7109375" style="38" customWidth="1"/>
    <col min="2075" max="2304" width="8.7109375" style="38"/>
    <col min="2305" max="2305" width="43.7109375" style="38" customWidth="1"/>
    <col min="2306" max="2306" width="12.5703125" style="38" customWidth="1"/>
    <col min="2307" max="2307" width="8.7109375" style="38"/>
    <col min="2308" max="2308" width="11.42578125" style="38" customWidth="1"/>
    <col min="2309" max="2309" width="9.42578125" style="38" customWidth="1"/>
    <col min="2310" max="2310" width="9.7109375" style="38" bestFit="1" customWidth="1"/>
    <col min="2311" max="2311" width="8.7109375" style="38"/>
    <col min="2312" max="2312" width="25" style="38" customWidth="1"/>
    <col min="2313" max="2313" width="9.5703125" style="38" customWidth="1"/>
    <col min="2314" max="2315" width="8.7109375" style="38"/>
    <col min="2316" max="2316" width="11.28515625" style="38" bestFit="1" customWidth="1"/>
    <col min="2317" max="2317" width="12.140625" style="38" customWidth="1"/>
    <col min="2318" max="2318" width="13.7109375" style="38" customWidth="1"/>
    <col min="2319" max="2319" width="26.5703125" style="38" bestFit="1" customWidth="1"/>
    <col min="2320" max="2320" width="29.28515625" style="38" bestFit="1" customWidth="1"/>
    <col min="2321" max="2330" width="6.7109375" style="38" customWidth="1"/>
    <col min="2331" max="2560" width="8.7109375" style="38"/>
    <col min="2561" max="2561" width="43.7109375" style="38" customWidth="1"/>
    <col min="2562" max="2562" width="12.5703125" style="38" customWidth="1"/>
    <col min="2563" max="2563" width="8.7109375" style="38"/>
    <col min="2564" max="2564" width="11.42578125" style="38" customWidth="1"/>
    <col min="2565" max="2565" width="9.42578125" style="38" customWidth="1"/>
    <col min="2566" max="2566" width="9.7109375" style="38" bestFit="1" customWidth="1"/>
    <col min="2567" max="2567" width="8.7109375" style="38"/>
    <col min="2568" max="2568" width="25" style="38" customWidth="1"/>
    <col min="2569" max="2569" width="9.5703125" style="38" customWidth="1"/>
    <col min="2570" max="2571" width="8.7109375" style="38"/>
    <col min="2572" max="2572" width="11.28515625" style="38" bestFit="1" customWidth="1"/>
    <col min="2573" max="2573" width="12.140625" style="38" customWidth="1"/>
    <col min="2574" max="2574" width="13.7109375" style="38" customWidth="1"/>
    <col min="2575" max="2575" width="26.5703125" style="38" bestFit="1" customWidth="1"/>
    <col min="2576" max="2576" width="29.28515625" style="38" bestFit="1" customWidth="1"/>
    <col min="2577" max="2586" width="6.7109375" style="38" customWidth="1"/>
    <col min="2587" max="2816" width="8.7109375" style="38"/>
    <col min="2817" max="2817" width="43.7109375" style="38" customWidth="1"/>
    <col min="2818" max="2818" width="12.5703125" style="38" customWidth="1"/>
    <col min="2819" max="2819" width="8.7109375" style="38"/>
    <col min="2820" max="2820" width="11.42578125" style="38" customWidth="1"/>
    <col min="2821" max="2821" width="9.42578125" style="38" customWidth="1"/>
    <col min="2822" max="2822" width="9.7109375" style="38" bestFit="1" customWidth="1"/>
    <col min="2823" max="2823" width="8.7109375" style="38"/>
    <col min="2824" max="2824" width="25" style="38" customWidth="1"/>
    <col min="2825" max="2825" width="9.5703125" style="38" customWidth="1"/>
    <col min="2826" max="2827" width="8.7109375" style="38"/>
    <col min="2828" max="2828" width="11.28515625" style="38" bestFit="1" customWidth="1"/>
    <col min="2829" max="2829" width="12.140625" style="38" customWidth="1"/>
    <col min="2830" max="2830" width="13.7109375" style="38" customWidth="1"/>
    <col min="2831" max="2831" width="26.5703125" style="38" bestFit="1" customWidth="1"/>
    <col min="2832" max="2832" width="29.28515625" style="38" bestFit="1" customWidth="1"/>
    <col min="2833" max="2842" width="6.7109375" style="38" customWidth="1"/>
    <col min="2843" max="3072" width="8.7109375" style="38"/>
    <col min="3073" max="3073" width="43.7109375" style="38" customWidth="1"/>
    <col min="3074" max="3074" width="12.5703125" style="38" customWidth="1"/>
    <col min="3075" max="3075" width="8.7109375" style="38"/>
    <col min="3076" max="3076" width="11.42578125" style="38" customWidth="1"/>
    <col min="3077" max="3077" width="9.42578125" style="38" customWidth="1"/>
    <col min="3078" max="3078" width="9.7109375" style="38" bestFit="1" customWidth="1"/>
    <col min="3079" max="3079" width="8.7109375" style="38"/>
    <col min="3080" max="3080" width="25" style="38" customWidth="1"/>
    <col min="3081" max="3081" width="9.5703125" style="38" customWidth="1"/>
    <col min="3082" max="3083" width="8.7109375" style="38"/>
    <col min="3084" max="3084" width="11.28515625" style="38" bestFit="1" customWidth="1"/>
    <col min="3085" max="3085" width="12.140625" style="38" customWidth="1"/>
    <col min="3086" max="3086" width="13.7109375" style="38" customWidth="1"/>
    <col min="3087" max="3087" width="26.5703125" style="38" bestFit="1" customWidth="1"/>
    <col min="3088" max="3088" width="29.28515625" style="38" bestFit="1" customWidth="1"/>
    <col min="3089" max="3098" width="6.7109375" style="38" customWidth="1"/>
    <col min="3099" max="3328" width="8.7109375" style="38"/>
    <col min="3329" max="3329" width="43.7109375" style="38" customWidth="1"/>
    <col min="3330" max="3330" width="12.5703125" style="38" customWidth="1"/>
    <col min="3331" max="3331" width="8.7109375" style="38"/>
    <col min="3332" max="3332" width="11.42578125" style="38" customWidth="1"/>
    <col min="3333" max="3333" width="9.42578125" style="38" customWidth="1"/>
    <col min="3334" max="3334" width="9.7109375" style="38" bestFit="1" customWidth="1"/>
    <col min="3335" max="3335" width="8.7109375" style="38"/>
    <col min="3336" max="3336" width="25" style="38" customWidth="1"/>
    <col min="3337" max="3337" width="9.5703125" style="38" customWidth="1"/>
    <col min="3338" max="3339" width="8.7109375" style="38"/>
    <col min="3340" max="3340" width="11.28515625" style="38" bestFit="1" customWidth="1"/>
    <col min="3341" max="3341" width="12.140625" style="38" customWidth="1"/>
    <col min="3342" max="3342" width="13.7109375" style="38" customWidth="1"/>
    <col min="3343" max="3343" width="26.5703125" style="38" bestFit="1" customWidth="1"/>
    <col min="3344" max="3344" width="29.28515625" style="38" bestFit="1" customWidth="1"/>
    <col min="3345" max="3354" width="6.7109375" style="38" customWidth="1"/>
    <col min="3355" max="3584" width="8.7109375" style="38"/>
    <col min="3585" max="3585" width="43.7109375" style="38" customWidth="1"/>
    <col min="3586" max="3586" width="12.5703125" style="38" customWidth="1"/>
    <col min="3587" max="3587" width="8.7109375" style="38"/>
    <col min="3588" max="3588" width="11.42578125" style="38" customWidth="1"/>
    <col min="3589" max="3589" width="9.42578125" style="38" customWidth="1"/>
    <col min="3590" max="3590" width="9.7109375" style="38" bestFit="1" customWidth="1"/>
    <col min="3591" max="3591" width="8.7109375" style="38"/>
    <col min="3592" max="3592" width="25" style="38" customWidth="1"/>
    <col min="3593" max="3593" width="9.5703125" style="38" customWidth="1"/>
    <col min="3594" max="3595" width="8.7109375" style="38"/>
    <col min="3596" max="3596" width="11.28515625" style="38" bestFit="1" customWidth="1"/>
    <col min="3597" max="3597" width="12.140625" style="38" customWidth="1"/>
    <col min="3598" max="3598" width="13.7109375" style="38" customWidth="1"/>
    <col min="3599" max="3599" width="26.5703125" style="38" bestFit="1" customWidth="1"/>
    <col min="3600" max="3600" width="29.28515625" style="38" bestFit="1" customWidth="1"/>
    <col min="3601" max="3610" width="6.7109375" style="38" customWidth="1"/>
    <col min="3611" max="3840" width="8.7109375" style="38"/>
    <col min="3841" max="3841" width="43.7109375" style="38" customWidth="1"/>
    <col min="3842" max="3842" width="12.5703125" style="38" customWidth="1"/>
    <col min="3843" max="3843" width="8.7109375" style="38"/>
    <col min="3844" max="3844" width="11.42578125" style="38" customWidth="1"/>
    <col min="3845" max="3845" width="9.42578125" style="38" customWidth="1"/>
    <col min="3846" max="3846" width="9.7109375" style="38" bestFit="1" customWidth="1"/>
    <col min="3847" max="3847" width="8.7109375" style="38"/>
    <col min="3848" max="3848" width="25" style="38" customWidth="1"/>
    <col min="3849" max="3849" width="9.5703125" style="38" customWidth="1"/>
    <col min="3850" max="3851" width="8.7109375" style="38"/>
    <col min="3852" max="3852" width="11.28515625" style="38" bestFit="1" customWidth="1"/>
    <col min="3853" max="3853" width="12.140625" style="38" customWidth="1"/>
    <col min="3854" max="3854" width="13.7109375" style="38" customWidth="1"/>
    <col min="3855" max="3855" width="26.5703125" style="38" bestFit="1" customWidth="1"/>
    <col min="3856" max="3856" width="29.28515625" style="38" bestFit="1" customWidth="1"/>
    <col min="3857" max="3866" width="6.7109375" style="38" customWidth="1"/>
    <col min="3867" max="4096" width="8.7109375" style="38"/>
    <col min="4097" max="4097" width="43.7109375" style="38" customWidth="1"/>
    <col min="4098" max="4098" width="12.5703125" style="38" customWidth="1"/>
    <col min="4099" max="4099" width="8.7109375" style="38"/>
    <col min="4100" max="4100" width="11.42578125" style="38" customWidth="1"/>
    <col min="4101" max="4101" width="9.42578125" style="38" customWidth="1"/>
    <col min="4102" max="4102" width="9.7109375" style="38" bestFit="1" customWidth="1"/>
    <col min="4103" max="4103" width="8.7109375" style="38"/>
    <col min="4104" max="4104" width="25" style="38" customWidth="1"/>
    <col min="4105" max="4105" width="9.5703125" style="38" customWidth="1"/>
    <col min="4106" max="4107" width="8.7109375" style="38"/>
    <col min="4108" max="4108" width="11.28515625" style="38" bestFit="1" customWidth="1"/>
    <col min="4109" max="4109" width="12.140625" style="38" customWidth="1"/>
    <col min="4110" max="4110" width="13.7109375" style="38" customWidth="1"/>
    <col min="4111" max="4111" width="26.5703125" style="38" bestFit="1" customWidth="1"/>
    <col min="4112" max="4112" width="29.28515625" style="38" bestFit="1" customWidth="1"/>
    <col min="4113" max="4122" width="6.7109375" style="38" customWidth="1"/>
    <col min="4123" max="4352" width="8.7109375" style="38"/>
    <col min="4353" max="4353" width="43.7109375" style="38" customWidth="1"/>
    <col min="4354" max="4354" width="12.5703125" style="38" customWidth="1"/>
    <col min="4355" max="4355" width="8.7109375" style="38"/>
    <col min="4356" max="4356" width="11.42578125" style="38" customWidth="1"/>
    <col min="4357" max="4357" width="9.42578125" style="38" customWidth="1"/>
    <col min="4358" max="4358" width="9.7109375" style="38" bestFit="1" customWidth="1"/>
    <col min="4359" max="4359" width="8.7109375" style="38"/>
    <col min="4360" max="4360" width="25" style="38" customWidth="1"/>
    <col min="4361" max="4361" width="9.5703125" style="38" customWidth="1"/>
    <col min="4362" max="4363" width="8.7109375" style="38"/>
    <col min="4364" max="4364" width="11.28515625" style="38" bestFit="1" customWidth="1"/>
    <col min="4365" max="4365" width="12.140625" style="38" customWidth="1"/>
    <col min="4366" max="4366" width="13.7109375" style="38" customWidth="1"/>
    <col min="4367" max="4367" width="26.5703125" style="38" bestFit="1" customWidth="1"/>
    <col min="4368" max="4368" width="29.28515625" style="38" bestFit="1" customWidth="1"/>
    <col min="4369" max="4378" width="6.7109375" style="38" customWidth="1"/>
    <col min="4379" max="4608" width="8.7109375" style="38"/>
    <col min="4609" max="4609" width="43.7109375" style="38" customWidth="1"/>
    <col min="4610" max="4610" width="12.5703125" style="38" customWidth="1"/>
    <col min="4611" max="4611" width="8.7109375" style="38"/>
    <col min="4612" max="4612" width="11.42578125" style="38" customWidth="1"/>
    <col min="4613" max="4613" width="9.42578125" style="38" customWidth="1"/>
    <col min="4614" max="4614" width="9.7109375" style="38" bestFit="1" customWidth="1"/>
    <col min="4615" max="4615" width="8.7109375" style="38"/>
    <col min="4616" max="4616" width="25" style="38" customWidth="1"/>
    <col min="4617" max="4617" width="9.5703125" style="38" customWidth="1"/>
    <col min="4618" max="4619" width="8.7109375" style="38"/>
    <col min="4620" max="4620" width="11.28515625" style="38" bestFit="1" customWidth="1"/>
    <col min="4621" max="4621" width="12.140625" style="38" customWidth="1"/>
    <col min="4622" max="4622" width="13.7109375" style="38" customWidth="1"/>
    <col min="4623" max="4623" width="26.5703125" style="38" bestFit="1" customWidth="1"/>
    <col min="4624" max="4624" width="29.28515625" style="38" bestFit="1" customWidth="1"/>
    <col min="4625" max="4634" width="6.7109375" style="38" customWidth="1"/>
    <col min="4635" max="4864" width="8.7109375" style="38"/>
    <col min="4865" max="4865" width="43.7109375" style="38" customWidth="1"/>
    <col min="4866" max="4866" width="12.5703125" style="38" customWidth="1"/>
    <col min="4867" max="4867" width="8.7109375" style="38"/>
    <col min="4868" max="4868" width="11.42578125" style="38" customWidth="1"/>
    <col min="4869" max="4869" width="9.42578125" style="38" customWidth="1"/>
    <col min="4870" max="4870" width="9.7109375" style="38" bestFit="1" customWidth="1"/>
    <col min="4871" max="4871" width="8.7109375" style="38"/>
    <col min="4872" max="4872" width="25" style="38" customWidth="1"/>
    <col min="4873" max="4873" width="9.5703125" style="38" customWidth="1"/>
    <col min="4874" max="4875" width="8.7109375" style="38"/>
    <col min="4876" max="4876" width="11.28515625" style="38" bestFit="1" customWidth="1"/>
    <col min="4877" max="4877" width="12.140625" style="38" customWidth="1"/>
    <col min="4878" max="4878" width="13.7109375" style="38" customWidth="1"/>
    <col min="4879" max="4879" width="26.5703125" style="38" bestFit="1" customWidth="1"/>
    <col min="4880" max="4880" width="29.28515625" style="38" bestFit="1" customWidth="1"/>
    <col min="4881" max="4890" width="6.7109375" style="38" customWidth="1"/>
    <col min="4891" max="5120" width="8.7109375" style="38"/>
    <col min="5121" max="5121" width="43.7109375" style="38" customWidth="1"/>
    <col min="5122" max="5122" width="12.5703125" style="38" customWidth="1"/>
    <col min="5123" max="5123" width="8.7109375" style="38"/>
    <col min="5124" max="5124" width="11.42578125" style="38" customWidth="1"/>
    <col min="5125" max="5125" width="9.42578125" style="38" customWidth="1"/>
    <col min="5126" max="5126" width="9.7109375" style="38" bestFit="1" customWidth="1"/>
    <col min="5127" max="5127" width="8.7109375" style="38"/>
    <col min="5128" max="5128" width="25" style="38" customWidth="1"/>
    <col min="5129" max="5129" width="9.5703125" style="38" customWidth="1"/>
    <col min="5130" max="5131" width="8.7109375" style="38"/>
    <col min="5132" max="5132" width="11.28515625" style="38" bestFit="1" customWidth="1"/>
    <col min="5133" max="5133" width="12.140625" style="38" customWidth="1"/>
    <col min="5134" max="5134" width="13.7109375" style="38" customWidth="1"/>
    <col min="5135" max="5135" width="26.5703125" style="38" bestFit="1" customWidth="1"/>
    <col min="5136" max="5136" width="29.28515625" style="38" bestFit="1" customWidth="1"/>
    <col min="5137" max="5146" width="6.7109375" style="38" customWidth="1"/>
    <col min="5147" max="5376" width="8.7109375" style="38"/>
    <col min="5377" max="5377" width="43.7109375" style="38" customWidth="1"/>
    <col min="5378" max="5378" width="12.5703125" style="38" customWidth="1"/>
    <col min="5379" max="5379" width="8.7109375" style="38"/>
    <col min="5380" max="5380" width="11.42578125" style="38" customWidth="1"/>
    <col min="5381" max="5381" width="9.42578125" style="38" customWidth="1"/>
    <col min="5382" max="5382" width="9.7109375" style="38" bestFit="1" customWidth="1"/>
    <col min="5383" max="5383" width="8.7109375" style="38"/>
    <col min="5384" max="5384" width="25" style="38" customWidth="1"/>
    <col min="5385" max="5385" width="9.5703125" style="38" customWidth="1"/>
    <col min="5386" max="5387" width="8.7109375" style="38"/>
    <col min="5388" max="5388" width="11.28515625" style="38" bestFit="1" customWidth="1"/>
    <col min="5389" max="5389" width="12.140625" style="38" customWidth="1"/>
    <col min="5390" max="5390" width="13.7109375" style="38" customWidth="1"/>
    <col min="5391" max="5391" width="26.5703125" style="38" bestFit="1" customWidth="1"/>
    <col min="5392" max="5392" width="29.28515625" style="38" bestFit="1" customWidth="1"/>
    <col min="5393" max="5402" width="6.7109375" style="38" customWidth="1"/>
    <col min="5403" max="5632" width="8.7109375" style="38"/>
    <col min="5633" max="5633" width="43.7109375" style="38" customWidth="1"/>
    <col min="5634" max="5634" width="12.5703125" style="38" customWidth="1"/>
    <col min="5635" max="5635" width="8.7109375" style="38"/>
    <col min="5636" max="5636" width="11.42578125" style="38" customWidth="1"/>
    <col min="5637" max="5637" width="9.42578125" style="38" customWidth="1"/>
    <col min="5638" max="5638" width="9.7109375" style="38" bestFit="1" customWidth="1"/>
    <col min="5639" max="5639" width="8.7109375" style="38"/>
    <col min="5640" max="5640" width="25" style="38" customWidth="1"/>
    <col min="5641" max="5641" width="9.5703125" style="38" customWidth="1"/>
    <col min="5642" max="5643" width="8.7109375" style="38"/>
    <col min="5644" max="5644" width="11.28515625" style="38" bestFit="1" customWidth="1"/>
    <col min="5645" max="5645" width="12.140625" style="38" customWidth="1"/>
    <col min="5646" max="5646" width="13.7109375" style="38" customWidth="1"/>
    <col min="5647" max="5647" width="26.5703125" style="38" bestFit="1" customWidth="1"/>
    <col min="5648" max="5648" width="29.28515625" style="38" bestFit="1" customWidth="1"/>
    <col min="5649" max="5658" width="6.7109375" style="38" customWidth="1"/>
    <col min="5659" max="5888" width="8.7109375" style="38"/>
    <col min="5889" max="5889" width="43.7109375" style="38" customWidth="1"/>
    <col min="5890" max="5890" width="12.5703125" style="38" customWidth="1"/>
    <col min="5891" max="5891" width="8.7109375" style="38"/>
    <col min="5892" max="5892" width="11.42578125" style="38" customWidth="1"/>
    <col min="5893" max="5893" width="9.42578125" style="38" customWidth="1"/>
    <col min="5894" max="5894" width="9.7109375" style="38" bestFit="1" customWidth="1"/>
    <col min="5895" max="5895" width="8.7109375" style="38"/>
    <col min="5896" max="5896" width="25" style="38" customWidth="1"/>
    <col min="5897" max="5897" width="9.5703125" style="38" customWidth="1"/>
    <col min="5898" max="5899" width="8.7109375" style="38"/>
    <col min="5900" max="5900" width="11.28515625" style="38" bestFit="1" customWidth="1"/>
    <col min="5901" max="5901" width="12.140625" style="38" customWidth="1"/>
    <col min="5902" max="5902" width="13.7109375" style="38" customWidth="1"/>
    <col min="5903" max="5903" width="26.5703125" style="38" bestFit="1" customWidth="1"/>
    <col min="5904" max="5904" width="29.28515625" style="38" bestFit="1" customWidth="1"/>
    <col min="5905" max="5914" width="6.7109375" style="38" customWidth="1"/>
    <col min="5915" max="6144" width="8.7109375" style="38"/>
    <col min="6145" max="6145" width="43.7109375" style="38" customWidth="1"/>
    <col min="6146" max="6146" width="12.5703125" style="38" customWidth="1"/>
    <col min="6147" max="6147" width="8.7109375" style="38"/>
    <col min="6148" max="6148" width="11.42578125" style="38" customWidth="1"/>
    <col min="6149" max="6149" width="9.42578125" style="38" customWidth="1"/>
    <col min="6150" max="6150" width="9.7109375" style="38" bestFit="1" customWidth="1"/>
    <col min="6151" max="6151" width="8.7109375" style="38"/>
    <col min="6152" max="6152" width="25" style="38" customWidth="1"/>
    <col min="6153" max="6153" width="9.5703125" style="38" customWidth="1"/>
    <col min="6154" max="6155" width="8.7109375" style="38"/>
    <col min="6156" max="6156" width="11.28515625" style="38" bestFit="1" customWidth="1"/>
    <col min="6157" max="6157" width="12.140625" style="38" customWidth="1"/>
    <col min="6158" max="6158" width="13.7109375" style="38" customWidth="1"/>
    <col min="6159" max="6159" width="26.5703125" style="38" bestFit="1" customWidth="1"/>
    <col min="6160" max="6160" width="29.28515625" style="38" bestFit="1" customWidth="1"/>
    <col min="6161" max="6170" width="6.7109375" style="38" customWidth="1"/>
    <col min="6171" max="6400" width="8.7109375" style="38"/>
    <col min="6401" max="6401" width="43.7109375" style="38" customWidth="1"/>
    <col min="6402" max="6402" width="12.5703125" style="38" customWidth="1"/>
    <col min="6403" max="6403" width="8.7109375" style="38"/>
    <col min="6404" max="6404" width="11.42578125" style="38" customWidth="1"/>
    <col min="6405" max="6405" width="9.42578125" style="38" customWidth="1"/>
    <col min="6406" max="6406" width="9.7109375" style="38" bestFit="1" customWidth="1"/>
    <col min="6407" max="6407" width="8.7109375" style="38"/>
    <col min="6408" max="6408" width="25" style="38" customWidth="1"/>
    <col min="6409" max="6409" width="9.5703125" style="38" customWidth="1"/>
    <col min="6410" max="6411" width="8.7109375" style="38"/>
    <col min="6412" max="6412" width="11.28515625" style="38" bestFit="1" customWidth="1"/>
    <col min="6413" max="6413" width="12.140625" style="38" customWidth="1"/>
    <col min="6414" max="6414" width="13.7109375" style="38" customWidth="1"/>
    <col min="6415" max="6415" width="26.5703125" style="38" bestFit="1" customWidth="1"/>
    <col min="6416" max="6416" width="29.28515625" style="38" bestFit="1" customWidth="1"/>
    <col min="6417" max="6426" width="6.7109375" style="38" customWidth="1"/>
    <col min="6427" max="6656" width="8.7109375" style="38"/>
    <col min="6657" max="6657" width="43.7109375" style="38" customWidth="1"/>
    <col min="6658" max="6658" width="12.5703125" style="38" customWidth="1"/>
    <col min="6659" max="6659" width="8.7109375" style="38"/>
    <col min="6660" max="6660" width="11.42578125" style="38" customWidth="1"/>
    <col min="6661" max="6661" width="9.42578125" style="38" customWidth="1"/>
    <col min="6662" max="6662" width="9.7109375" style="38" bestFit="1" customWidth="1"/>
    <col min="6663" max="6663" width="8.7109375" style="38"/>
    <col min="6664" max="6664" width="25" style="38" customWidth="1"/>
    <col min="6665" max="6665" width="9.5703125" style="38" customWidth="1"/>
    <col min="6666" max="6667" width="8.7109375" style="38"/>
    <col min="6668" max="6668" width="11.28515625" style="38" bestFit="1" customWidth="1"/>
    <col min="6669" max="6669" width="12.140625" style="38" customWidth="1"/>
    <col min="6670" max="6670" width="13.7109375" style="38" customWidth="1"/>
    <col min="6671" max="6671" width="26.5703125" style="38" bestFit="1" customWidth="1"/>
    <col min="6672" max="6672" width="29.28515625" style="38" bestFit="1" customWidth="1"/>
    <col min="6673" max="6682" width="6.7109375" style="38" customWidth="1"/>
    <col min="6683" max="6912" width="8.7109375" style="38"/>
    <col min="6913" max="6913" width="43.7109375" style="38" customWidth="1"/>
    <col min="6914" max="6914" width="12.5703125" style="38" customWidth="1"/>
    <col min="6915" max="6915" width="8.7109375" style="38"/>
    <col min="6916" max="6916" width="11.42578125" style="38" customWidth="1"/>
    <col min="6917" max="6917" width="9.42578125" style="38" customWidth="1"/>
    <col min="6918" max="6918" width="9.7109375" style="38" bestFit="1" customWidth="1"/>
    <col min="6919" max="6919" width="8.7109375" style="38"/>
    <col min="6920" max="6920" width="25" style="38" customWidth="1"/>
    <col min="6921" max="6921" width="9.5703125" style="38" customWidth="1"/>
    <col min="6922" max="6923" width="8.7109375" style="38"/>
    <col min="6924" max="6924" width="11.28515625" style="38" bestFit="1" customWidth="1"/>
    <col min="6925" max="6925" width="12.140625" style="38" customWidth="1"/>
    <col min="6926" max="6926" width="13.7109375" style="38" customWidth="1"/>
    <col min="6927" max="6927" width="26.5703125" style="38" bestFit="1" customWidth="1"/>
    <col min="6928" max="6928" width="29.28515625" style="38" bestFit="1" customWidth="1"/>
    <col min="6929" max="6938" width="6.7109375" style="38" customWidth="1"/>
    <col min="6939" max="7168" width="8.7109375" style="38"/>
    <col min="7169" max="7169" width="43.7109375" style="38" customWidth="1"/>
    <col min="7170" max="7170" width="12.5703125" style="38" customWidth="1"/>
    <col min="7171" max="7171" width="8.7109375" style="38"/>
    <col min="7172" max="7172" width="11.42578125" style="38" customWidth="1"/>
    <col min="7173" max="7173" width="9.42578125" style="38" customWidth="1"/>
    <col min="7174" max="7174" width="9.7109375" style="38" bestFit="1" customWidth="1"/>
    <col min="7175" max="7175" width="8.7109375" style="38"/>
    <col min="7176" max="7176" width="25" style="38" customWidth="1"/>
    <col min="7177" max="7177" width="9.5703125" style="38" customWidth="1"/>
    <col min="7178" max="7179" width="8.7109375" style="38"/>
    <col min="7180" max="7180" width="11.28515625" style="38" bestFit="1" customWidth="1"/>
    <col min="7181" max="7181" width="12.140625" style="38" customWidth="1"/>
    <col min="7182" max="7182" width="13.7109375" style="38" customWidth="1"/>
    <col min="7183" max="7183" width="26.5703125" style="38" bestFit="1" customWidth="1"/>
    <col min="7184" max="7184" width="29.28515625" style="38" bestFit="1" customWidth="1"/>
    <col min="7185" max="7194" width="6.7109375" style="38" customWidth="1"/>
    <col min="7195" max="7424" width="8.7109375" style="38"/>
    <col min="7425" max="7425" width="43.7109375" style="38" customWidth="1"/>
    <col min="7426" max="7426" width="12.5703125" style="38" customWidth="1"/>
    <col min="7427" max="7427" width="8.7109375" style="38"/>
    <col min="7428" max="7428" width="11.42578125" style="38" customWidth="1"/>
    <col min="7429" max="7429" width="9.42578125" style="38" customWidth="1"/>
    <col min="7430" max="7430" width="9.7109375" style="38" bestFit="1" customWidth="1"/>
    <col min="7431" max="7431" width="8.7109375" style="38"/>
    <col min="7432" max="7432" width="25" style="38" customWidth="1"/>
    <col min="7433" max="7433" width="9.5703125" style="38" customWidth="1"/>
    <col min="7434" max="7435" width="8.7109375" style="38"/>
    <col min="7436" max="7436" width="11.28515625" style="38" bestFit="1" customWidth="1"/>
    <col min="7437" max="7437" width="12.140625" style="38" customWidth="1"/>
    <col min="7438" max="7438" width="13.7109375" style="38" customWidth="1"/>
    <col min="7439" max="7439" width="26.5703125" style="38" bestFit="1" customWidth="1"/>
    <col min="7440" max="7440" width="29.28515625" style="38" bestFit="1" customWidth="1"/>
    <col min="7441" max="7450" width="6.7109375" style="38" customWidth="1"/>
    <col min="7451" max="7680" width="8.7109375" style="38"/>
    <col min="7681" max="7681" width="43.7109375" style="38" customWidth="1"/>
    <col min="7682" max="7682" width="12.5703125" style="38" customWidth="1"/>
    <col min="7683" max="7683" width="8.7109375" style="38"/>
    <col min="7684" max="7684" width="11.42578125" style="38" customWidth="1"/>
    <col min="7685" max="7685" width="9.42578125" style="38" customWidth="1"/>
    <col min="7686" max="7686" width="9.7109375" style="38" bestFit="1" customWidth="1"/>
    <col min="7687" max="7687" width="8.7109375" style="38"/>
    <col min="7688" max="7688" width="25" style="38" customWidth="1"/>
    <col min="7689" max="7689" width="9.5703125" style="38" customWidth="1"/>
    <col min="7690" max="7691" width="8.7109375" style="38"/>
    <col min="7692" max="7692" width="11.28515625" style="38" bestFit="1" customWidth="1"/>
    <col min="7693" max="7693" width="12.140625" style="38" customWidth="1"/>
    <col min="7694" max="7694" width="13.7109375" style="38" customWidth="1"/>
    <col min="7695" max="7695" width="26.5703125" style="38" bestFit="1" customWidth="1"/>
    <col min="7696" max="7696" width="29.28515625" style="38" bestFit="1" customWidth="1"/>
    <col min="7697" max="7706" width="6.7109375" style="38" customWidth="1"/>
    <col min="7707" max="7936" width="8.7109375" style="38"/>
    <col min="7937" max="7937" width="43.7109375" style="38" customWidth="1"/>
    <col min="7938" max="7938" width="12.5703125" style="38" customWidth="1"/>
    <col min="7939" max="7939" width="8.7109375" style="38"/>
    <col min="7940" max="7940" width="11.42578125" style="38" customWidth="1"/>
    <col min="7941" max="7941" width="9.42578125" style="38" customWidth="1"/>
    <col min="7942" max="7942" width="9.7109375" style="38" bestFit="1" customWidth="1"/>
    <col min="7943" max="7943" width="8.7109375" style="38"/>
    <col min="7944" max="7944" width="25" style="38" customWidth="1"/>
    <col min="7945" max="7945" width="9.5703125" style="38" customWidth="1"/>
    <col min="7946" max="7947" width="8.7109375" style="38"/>
    <col min="7948" max="7948" width="11.28515625" style="38" bestFit="1" customWidth="1"/>
    <col min="7949" max="7949" width="12.140625" style="38" customWidth="1"/>
    <col min="7950" max="7950" width="13.7109375" style="38" customWidth="1"/>
    <col min="7951" max="7951" width="26.5703125" style="38" bestFit="1" customWidth="1"/>
    <col min="7952" max="7952" width="29.28515625" style="38" bestFit="1" customWidth="1"/>
    <col min="7953" max="7962" width="6.7109375" style="38" customWidth="1"/>
    <col min="7963" max="8192" width="8.7109375" style="38"/>
    <col min="8193" max="8193" width="43.7109375" style="38" customWidth="1"/>
    <col min="8194" max="8194" width="12.5703125" style="38" customWidth="1"/>
    <col min="8195" max="8195" width="8.7109375" style="38"/>
    <col min="8196" max="8196" width="11.42578125" style="38" customWidth="1"/>
    <col min="8197" max="8197" width="9.42578125" style="38" customWidth="1"/>
    <col min="8198" max="8198" width="9.7109375" style="38" bestFit="1" customWidth="1"/>
    <col min="8199" max="8199" width="8.7109375" style="38"/>
    <col min="8200" max="8200" width="25" style="38" customWidth="1"/>
    <col min="8201" max="8201" width="9.5703125" style="38" customWidth="1"/>
    <col min="8202" max="8203" width="8.7109375" style="38"/>
    <col min="8204" max="8204" width="11.28515625" style="38" bestFit="1" customWidth="1"/>
    <col min="8205" max="8205" width="12.140625" style="38" customWidth="1"/>
    <col min="8206" max="8206" width="13.7109375" style="38" customWidth="1"/>
    <col min="8207" max="8207" width="26.5703125" style="38" bestFit="1" customWidth="1"/>
    <col min="8208" max="8208" width="29.28515625" style="38" bestFit="1" customWidth="1"/>
    <col min="8209" max="8218" width="6.7109375" style="38" customWidth="1"/>
    <col min="8219" max="8448" width="8.7109375" style="38"/>
    <col min="8449" max="8449" width="43.7109375" style="38" customWidth="1"/>
    <col min="8450" max="8450" width="12.5703125" style="38" customWidth="1"/>
    <col min="8451" max="8451" width="8.7109375" style="38"/>
    <col min="8452" max="8452" width="11.42578125" style="38" customWidth="1"/>
    <col min="8453" max="8453" width="9.42578125" style="38" customWidth="1"/>
    <col min="8454" max="8454" width="9.7109375" style="38" bestFit="1" customWidth="1"/>
    <col min="8455" max="8455" width="8.7109375" style="38"/>
    <col min="8456" max="8456" width="25" style="38" customWidth="1"/>
    <col min="8457" max="8457" width="9.5703125" style="38" customWidth="1"/>
    <col min="8458" max="8459" width="8.7109375" style="38"/>
    <col min="8460" max="8460" width="11.28515625" style="38" bestFit="1" customWidth="1"/>
    <col min="8461" max="8461" width="12.140625" style="38" customWidth="1"/>
    <col min="8462" max="8462" width="13.7109375" style="38" customWidth="1"/>
    <col min="8463" max="8463" width="26.5703125" style="38" bestFit="1" customWidth="1"/>
    <col min="8464" max="8464" width="29.28515625" style="38" bestFit="1" customWidth="1"/>
    <col min="8465" max="8474" width="6.7109375" style="38" customWidth="1"/>
    <col min="8475" max="8704" width="8.7109375" style="38"/>
    <col min="8705" max="8705" width="43.7109375" style="38" customWidth="1"/>
    <col min="8706" max="8706" width="12.5703125" style="38" customWidth="1"/>
    <col min="8707" max="8707" width="8.7109375" style="38"/>
    <col min="8708" max="8708" width="11.42578125" style="38" customWidth="1"/>
    <col min="8709" max="8709" width="9.42578125" style="38" customWidth="1"/>
    <col min="8710" max="8710" width="9.7109375" style="38" bestFit="1" customWidth="1"/>
    <col min="8711" max="8711" width="8.7109375" style="38"/>
    <col min="8712" max="8712" width="25" style="38" customWidth="1"/>
    <col min="8713" max="8713" width="9.5703125" style="38" customWidth="1"/>
    <col min="8714" max="8715" width="8.7109375" style="38"/>
    <col min="8716" max="8716" width="11.28515625" style="38" bestFit="1" customWidth="1"/>
    <col min="8717" max="8717" width="12.140625" style="38" customWidth="1"/>
    <col min="8718" max="8718" width="13.7109375" style="38" customWidth="1"/>
    <col min="8719" max="8719" width="26.5703125" style="38" bestFit="1" customWidth="1"/>
    <col min="8720" max="8720" width="29.28515625" style="38" bestFit="1" customWidth="1"/>
    <col min="8721" max="8730" width="6.7109375" style="38" customWidth="1"/>
    <col min="8731" max="8960" width="8.7109375" style="38"/>
    <col min="8961" max="8961" width="43.7109375" style="38" customWidth="1"/>
    <col min="8962" max="8962" width="12.5703125" style="38" customWidth="1"/>
    <col min="8963" max="8963" width="8.7109375" style="38"/>
    <col min="8964" max="8964" width="11.42578125" style="38" customWidth="1"/>
    <col min="8965" max="8965" width="9.42578125" style="38" customWidth="1"/>
    <col min="8966" max="8966" width="9.7109375" style="38" bestFit="1" customWidth="1"/>
    <col min="8967" max="8967" width="8.7109375" style="38"/>
    <col min="8968" max="8968" width="25" style="38" customWidth="1"/>
    <col min="8969" max="8969" width="9.5703125" style="38" customWidth="1"/>
    <col min="8970" max="8971" width="8.7109375" style="38"/>
    <col min="8972" max="8972" width="11.28515625" style="38" bestFit="1" customWidth="1"/>
    <col min="8973" max="8973" width="12.140625" style="38" customWidth="1"/>
    <col min="8974" max="8974" width="13.7109375" style="38" customWidth="1"/>
    <col min="8975" max="8975" width="26.5703125" style="38" bestFit="1" customWidth="1"/>
    <col min="8976" max="8976" width="29.28515625" style="38" bestFit="1" customWidth="1"/>
    <col min="8977" max="8986" width="6.7109375" style="38" customWidth="1"/>
    <col min="8987" max="9216" width="8.7109375" style="38"/>
    <col min="9217" max="9217" width="43.7109375" style="38" customWidth="1"/>
    <col min="9218" max="9218" width="12.5703125" style="38" customWidth="1"/>
    <col min="9219" max="9219" width="8.7109375" style="38"/>
    <col min="9220" max="9220" width="11.42578125" style="38" customWidth="1"/>
    <col min="9221" max="9221" width="9.42578125" style="38" customWidth="1"/>
    <col min="9222" max="9222" width="9.7109375" style="38" bestFit="1" customWidth="1"/>
    <col min="9223" max="9223" width="8.7109375" style="38"/>
    <col min="9224" max="9224" width="25" style="38" customWidth="1"/>
    <col min="9225" max="9225" width="9.5703125" style="38" customWidth="1"/>
    <col min="9226" max="9227" width="8.7109375" style="38"/>
    <col min="9228" max="9228" width="11.28515625" style="38" bestFit="1" customWidth="1"/>
    <col min="9229" max="9229" width="12.140625" style="38" customWidth="1"/>
    <col min="9230" max="9230" width="13.7109375" style="38" customWidth="1"/>
    <col min="9231" max="9231" width="26.5703125" style="38" bestFit="1" customWidth="1"/>
    <col min="9232" max="9232" width="29.28515625" style="38" bestFit="1" customWidth="1"/>
    <col min="9233" max="9242" width="6.7109375" style="38" customWidth="1"/>
    <col min="9243" max="9472" width="8.7109375" style="38"/>
    <col min="9473" max="9473" width="43.7109375" style="38" customWidth="1"/>
    <col min="9474" max="9474" width="12.5703125" style="38" customWidth="1"/>
    <col min="9475" max="9475" width="8.7109375" style="38"/>
    <col min="9476" max="9476" width="11.42578125" style="38" customWidth="1"/>
    <col min="9477" max="9477" width="9.42578125" style="38" customWidth="1"/>
    <col min="9478" max="9478" width="9.7109375" style="38" bestFit="1" customWidth="1"/>
    <col min="9479" max="9479" width="8.7109375" style="38"/>
    <col min="9480" max="9480" width="25" style="38" customWidth="1"/>
    <col min="9481" max="9481" width="9.5703125" style="38" customWidth="1"/>
    <col min="9482" max="9483" width="8.7109375" style="38"/>
    <col min="9484" max="9484" width="11.28515625" style="38" bestFit="1" customWidth="1"/>
    <col min="9485" max="9485" width="12.140625" style="38" customWidth="1"/>
    <col min="9486" max="9486" width="13.7109375" style="38" customWidth="1"/>
    <col min="9487" max="9487" width="26.5703125" style="38" bestFit="1" customWidth="1"/>
    <col min="9488" max="9488" width="29.28515625" style="38" bestFit="1" customWidth="1"/>
    <col min="9489" max="9498" width="6.7109375" style="38" customWidth="1"/>
    <col min="9499" max="9728" width="8.7109375" style="38"/>
    <col min="9729" max="9729" width="43.7109375" style="38" customWidth="1"/>
    <col min="9730" max="9730" width="12.5703125" style="38" customWidth="1"/>
    <col min="9731" max="9731" width="8.7109375" style="38"/>
    <col min="9732" max="9732" width="11.42578125" style="38" customWidth="1"/>
    <col min="9733" max="9733" width="9.42578125" style="38" customWidth="1"/>
    <col min="9734" max="9734" width="9.7109375" style="38" bestFit="1" customWidth="1"/>
    <col min="9735" max="9735" width="8.7109375" style="38"/>
    <col min="9736" max="9736" width="25" style="38" customWidth="1"/>
    <col min="9737" max="9737" width="9.5703125" style="38" customWidth="1"/>
    <col min="9738" max="9739" width="8.7109375" style="38"/>
    <col min="9740" max="9740" width="11.28515625" style="38" bestFit="1" customWidth="1"/>
    <col min="9741" max="9741" width="12.140625" style="38" customWidth="1"/>
    <col min="9742" max="9742" width="13.7109375" style="38" customWidth="1"/>
    <col min="9743" max="9743" width="26.5703125" style="38" bestFit="1" customWidth="1"/>
    <col min="9744" max="9744" width="29.28515625" style="38" bestFit="1" customWidth="1"/>
    <col min="9745" max="9754" width="6.7109375" style="38" customWidth="1"/>
    <col min="9755" max="9984" width="8.7109375" style="38"/>
    <col min="9985" max="9985" width="43.7109375" style="38" customWidth="1"/>
    <col min="9986" max="9986" width="12.5703125" style="38" customWidth="1"/>
    <col min="9987" max="9987" width="8.7109375" style="38"/>
    <col min="9988" max="9988" width="11.42578125" style="38" customWidth="1"/>
    <col min="9989" max="9989" width="9.42578125" style="38" customWidth="1"/>
    <col min="9990" max="9990" width="9.7109375" style="38" bestFit="1" customWidth="1"/>
    <col min="9991" max="9991" width="8.7109375" style="38"/>
    <col min="9992" max="9992" width="25" style="38" customWidth="1"/>
    <col min="9993" max="9993" width="9.5703125" style="38" customWidth="1"/>
    <col min="9994" max="9995" width="8.7109375" style="38"/>
    <col min="9996" max="9996" width="11.28515625" style="38" bestFit="1" customWidth="1"/>
    <col min="9997" max="9997" width="12.140625" style="38" customWidth="1"/>
    <col min="9998" max="9998" width="13.7109375" style="38" customWidth="1"/>
    <col min="9999" max="9999" width="26.5703125" style="38" bestFit="1" customWidth="1"/>
    <col min="10000" max="10000" width="29.28515625" style="38" bestFit="1" customWidth="1"/>
    <col min="10001" max="10010" width="6.7109375" style="38" customWidth="1"/>
    <col min="10011" max="10240" width="8.7109375" style="38"/>
    <col min="10241" max="10241" width="43.7109375" style="38" customWidth="1"/>
    <col min="10242" max="10242" width="12.5703125" style="38" customWidth="1"/>
    <col min="10243" max="10243" width="8.7109375" style="38"/>
    <col min="10244" max="10244" width="11.42578125" style="38" customWidth="1"/>
    <col min="10245" max="10245" width="9.42578125" style="38" customWidth="1"/>
    <col min="10246" max="10246" width="9.7109375" style="38" bestFit="1" customWidth="1"/>
    <col min="10247" max="10247" width="8.7109375" style="38"/>
    <col min="10248" max="10248" width="25" style="38" customWidth="1"/>
    <col min="10249" max="10249" width="9.5703125" style="38" customWidth="1"/>
    <col min="10250" max="10251" width="8.7109375" style="38"/>
    <col min="10252" max="10252" width="11.28515625" style="38" bestFit="1" customWidth="1"/>
    <col min="10253" max="10253" width="12.140625" style="38" customWidth="1"/>
    <col min="10254" max="10254" width="13.7109375" style="38" customWidth="1"/>
    <col min="10255" max="10255" width="26.5703125" style="38" bestFit="1" customWidth="1"/>
    <col min="10256" max="10256" width="29.28515625" style="38" bestFit="1" customWidth="1"/>
    <col min="10257" max="10266" width="6.7109375" style="38" customWidth="1"/>
    <col min="10267" max="10496" width="8.7109375" style="38"/>
    <col min="10497" max="10497" width="43.7109375" style="38" customWidth="1"/>
    <col min="10498" max="10498" width="12.5703125" style="38" customWidth="1"/>
    <col min="10499" max="10499" width="8.7109375" style="38"/>
    <col min="10500" max="10500" width="11.42578125" style="38" customWidth="1"/>
    <col min="10501" max="10501" width="9.42578125" style="38" customWidth="1"/>
    <col min="10502" max="10502" width="9.7109375" style="38" bestFit="1" customWidth="1"/>
    <col min="10503" max="10503" width="8.7109375" style="38"/>
    <col min="10504" max="10504" width="25" style="38" customWidth="1"/>
    <col min="10505" max="10505" width="9.5703125" style="38" customWidth="1"/>
    <col min="10506" max="10507" width="8.7109375" style="38"/>
    <col min="10508" max="10508" width="11.28515625" style="38" bestFit="1" customWidth="1"/>
    <col min="10509" max="10509" width="12.140625" style="38" customWidth="1"/>
    <col min="10510" max="10510" width="13.7109375" style="38" customWidth="1"/>
    <col min="10511" max="10511" width="26.5703125" style="38" bestFit="1" customWidth="1"/>
    <col min="10512" max="10512" width="29.28515625" style="38" bestFit="1" customWidth="1"/>
    <col min="10513" max="10522" width="6.7109375" style="38" customWidth="1"/>
    <col min="10523" max="10752" width="8.7109375" style="38"/>
    <col min="10753" max="10753" width="43.7109375" style="38" customWidth="1"/>
    <col min="10754" max="10754" width="12.5703125" style="38" customWidth="1"/>
    <col min="10755" max="10755" width="8.7109375" style="38"/>
    <col min="10756" max="10756" width="11.42578125" style="38" customWidth="1"/>
    <col min="10757" max="10757" width="9.42578125" style="38" customWidth="1"/>
    <col min="10758" max="10758" width="9.7109375" style="38" bestFit="1" customWidth="1"/>
    <col min="10759" max="10759" width="8.7109375" style="38"/>
    <col min="10760" max="10760" width="25" style="38" customWidth="1"/>
    <col min="10761" max="10761" width="9.5703125" style="38" customWidth="1"/>
    <col min="10762" max="10763" width="8.7109375" style="38"/>
    <col min="10764" max="10764" width="11.28515625" style="38" bestFit="1" customWidth="1"/>
    <col min="10765" max="10765" width="12.140625" style="38" customWidth="1"/>
    <col min="10766" max="10766" width="13.7109375" style="38" customWidth="1"/>
    <col min="10767" max="10767" width="26.5703125" style="38" bestFit="1" customWidth="1"/>
    <col min="10768" max="10768" width="29.28515625" style="38" bestFit="1" customWidth="1"/>
    <col min="10769" max="10778" width="6.7109375" style="38" customWidth="1"/>
    <col min="10779" max="11008" width="8.7109375" style="38"/>
    <col min="11009" max="11009" width="43.7109375" style="38" customWidth="1"/>
    <col min="11010" max="11010" width="12.5703125" style="38" customWidth="1"/>
    <col min="11011" max="11011" width="8.7109375" style="38"/>
    <col min="11012" max="11012" width="11.42578125" style="38" customWidth="1"/>
    <col min="11013" max="11013" width="9.42578125" style="38" customWidth="1"/>
    <col min="11014" max="11014" width="9.7109375" style="38" bestFit="1" customWidth="1"/>
    <col min="11015" max="11015" width="8.7109375" style="38"/>
    <col min="11016" max="11016" width="25" style="38" customWidth="1"/>
    <col min="11017" max="11017" width="9.5703125" style="38" customWidth="1"/>
    <col min="11018" max="11019" width="8.7109375" style="38"/>
    <col min="11020" max="11020" width="11.28515625" style="38" bestFit="1" customWidth="1"/>
    <col min="11021" max="11021" width="12.140625" style="38" customWidth="1"/>
    <col min="11022" max="11022" width="13.7109375" style="38" customWidth="1"/>
    <col min="11023" max="11023" width="26.5703125" style="38" bestFit="1" customWidth="1"/>
    <col min="11024" max="11024" width="29.28515625" style="38" bestFit="1" customWidth="1"/>
    <col min="11025" max="11034" width="6.7109375" style="38" customWidth="1"/>
    <col min="11035" max="11264" width="8.7109375" style="38"/>
    <col min="11265" max="11265" width="43.7109375" style="38" customWidth="1"/>
    <col min="11266" max="11266" width="12.5703125" style="38" customWidth="1"/>
    <col min="11267" max="11267" width="8.7109375" style="38"/>
    <col min="11268" max="11268" width="11.42578125" style="38" customWidth="1"/>
    <col min="11269" max="11269" width="9.42578125" style="38" customWidth="1"/>
    <col min="11270" max="11270" width="9.7109375" style="38" bestFit="1" customWidth="1"/>
    <col min="11271" max="11271" width="8.7109375" style="38"/>
    <col min="11272" max="11272" width="25" style="38" customWidth="1"/>
    <col min="11273" max="11273" width="9.5703125" style="38" customWidth="1"/>
    <col min="11274" max="11275" width="8.7109375" style="38"/>
    <col min="11276" max="11276" width="11.28515625" style="38" bestFit="1" customWidth="1"/>
    <col min="11277" max="11277" width="12.140625" style="38" customWidth="1"/>
    <col min="11278" max="11278" width="13.7109375" style="38" customWidth="1"/>
    <col min="11279" max="11279" width="26.5703125" style="38" bestFit="1" customWidth="1"/>
    <col min="11280" max="11280" width="29.28515625" style="38" bestFit="1" customWidth="1"/>
    <col min="11281" max="11290" width="6.7109375" style="38" customWidth="1"/>
    <col min="11291" max="11520" width="8.7109375" style="38"/>
    <col min="11521" max="11521" width="43.7109375" style="38" customWidth="1"/>
    <col min="11522" max="11522" width="12.5703125" style="38" customWidth="1"/>
    <col min="11523" max="11523" width="8.7109375" style="38"/>
    <col min="11524" max="11524" width="11.42578125" style="38" customWidth="1"/>
    <col min="11525" max="11525" width="9.42578125" style="38" customWidth="1"/>
    <col min="11526" max="11526" width="9.7109375" style="38" bestFit="1" customWidth="1"/>
    <col min="11527" max="11527" width="8.7109375" style="38"/>
    <col min="11528" max="11528" width="25" style="38" customWidth="1"/>
    <col min="11529" max="11529" width="9.5703125" style="38" customWidth="1"/>
    <col min="11530" max="11531" width="8.7109375" style="38"/>
    <col min="11532" max="11532" width="11.28515625" style="38" bestFit="1" customWidth="1"/>
    <col min="11533" max="11533" width="12.140625" style="38" customWidth="1"/>
    <col min="11534" max="11534" width="13.7109375" style="38" customWidth="1"/>
    <col min="11535" max="11535" width="26.5703125" style="38" bestFit="1" customWidth="1"/>
    <col min="11536" max="11536" width="29.28515625" style="38" bestFit="1" customWidth="1"/>
    <col min="11537" max="11546" width="6.7109375" style="38" customWidth="1"/>
    <col min="11547" max="11776" width="8.7109375" style="38"/>
    <col min="11777" max="11777" width="43.7109375" style="38" customWidth="1"/>
    <col min="11778" max="11778" width="12.5703125" style="38" customWidth="1"/>
    <col min="11779" max="11779" width="8.7109375" style="38"/>
    <col min="11780" max="11780" width="11.42578125" style="38" customWidth="1"/>
    <col min="11781" max="11781" width="9.42578125" style="38" customWidth="1"/>
    <col min="11782" max="11782" width="9.7109375" style="38" bestFit="1" customWidth="1"/>
    <col min="11783" max="11783" width="8.7109375" style="38"/>
    <col min="11784" max="11784" width="25" style="38" customWidth="1"/>
    <col min="11785" max="11785" width="9.5703125" style="38" customWidth="1"/>
    <col min="11786" max="11787" width="8.7109375" style="38"/>
    <col min="11788" max="11788" width="11.28515625" style="38" bestFit="1" customWidth="1"/>
    <col min="11789" max="11789" width="12.140625" style="38" customWidth="1"/>
    <col min="11790" max="11790" width="13.7109375" style="38" customWidth="1"/>
    <col min="11791" max="11791" width="26.5703125" style="38" bestFit="1" customWidth="1"/>
    <col min="11792" max="11792" width="29.28515625" style="38" bestFit="1" customWidth="1"/>
    <col min="11793" max="11802" width="6.7109375" style="38" customWidth="1"/>
    <col min="11803" max="12032" width="8.7109375" style="38"/>
    <col min="12033" max="12033" width="43.7109375" style="38" customWidth="1"/>
    <col min="12034" max="12034" width="12.5703125" style="38" customWidth="1"/>
    <col min="12035" max="12035" width="8.7109375" style="38"/>
    <col min="12036" max="12036" width="11.42578125" style="38" customWidth="1"/>
    <col min="12037" max="12037" width="9.42578125" style="38" customWidth="1"/>
    <col min="12038" max="12038" width="9.7109375" style="38" bestFit="1" customWidth="1"/>
    <col min="12039" max="12039" width="8.7109375" style="38"/>
    <col min="12040" max="12040" width="25" style="38" customWidth="1"/>
    <col min="12041" max="12041" width="9.5703125" style="38" customWidth="1"/>
    <col min="12042" max="12043" width="8.7109375" style="38"/>
    <col min="12044" max="12044" width="11.28515625" style="38" bestFit="1" customWidth="1"/>
    <col min="12045" max="12045" width="12.140625" style="38" customWidth="1"/>
    <col min="12046" max="12046" width="13.7109375" style="38" customWidth="1"/>
    <col min="12047" max="12047" width="26.5703125" style="38" bestFit="1" customWidth="1"/>
    <col min="12048" max="12048" width="29.28515625" style="38" bestFit="1" customWidth="1"/>
    <col min="12049" max="12058" width="6.7109375" style="38" customWidth="1"/>
    <col min="12059" max="12288" width="8.7109375" style="38"/>
    <col min="12289" max="12289" width="43.7109375" style="38" customWidth="1"/>
    <col min="12290" max="12290" width="12.5703125" style="38" customWidth="1"/>
    <col min="12291" max="12291" width="8.7109375" style="38"/>
    <col min="12292" max="12292" width="11.42578125" style="38" customWidth="1"/>
    <col min="12293" max="12293" width="9.42578125" style="38" customWidth="1"/>
    <col min="12294" max="12294" width="9.7109375" style="38" bestFit="1" customWidth="1"/>
    <col min="12295" max="12295" width="8.7109375" style="38"/>
    <col min="12296" max="12296" width="25" style="38" customWidth="1"/>
    <col min="12297" max="12297" width="9.5703125" style="38" customWidth="1"/>
    <col min="12298" max="12299" width="8.7109375" style="38"/>
    <col min="12300" max="12300" width="11.28515625" style="38" bestFit="1" customWidth="1"/>
    <col min="12301" max="12301" width="12.140625" style="38" customWidth="1"/>
    <col min="12302" max="12302" width="13.7109375" style="38" customWidth="1"/>
    <col min="12303" max="12303" width="26.5703125" style="38" bestFit="1" customWidth="1"/>
    <col min="12304" max="12304" width="29.28515625" style="38" bestFit="1" customWidth="1"/>
    <col min="12305" max="12314" width="6.7109375" style="38" customWidth="1"/>
    <col min="12315" max="12544" width="8.7109375" style="38"/>
    <col min="12545" max="12545" width="43.7109375" style="38" customWidth="1"/>
    <col min="12546" max="12546" width="12.5703125" style="38" customWidth="1"/>
    <col min="12547" max="12547" width="8.7109375" style="38"/>
    <col min="12548" max="12548" width="11.42578125" style="38" customWidth="1"/>
    <col min="12549" max="12549" width="9.42578125" style="38" customWidth="1"/>
    <col min="12550" max="12550" width="9.7109375" style="38" bestFit="1" customWidth="1"/>
    <col min="12551" max="12551" width="8.7109375" style="38"/>
    <col min="12552" max="12552" width="25" style="38" customWidth="1"/>
    <col min="12553" max="12553" width="9.5703125" style="38" customWidth="1"/>
    <col min="12554" max="12555" width="8.7109375" style="38"/>
    <col min="12556" max="12556" width="11.28515625" style="38" bestFit="1" customWidth="1"/>
    <col min="12557" max="12557" width="12.140625" style="38" customWidth="1"/>
    <col min="12558" max="12558" width="13.7109375" style="38" customWidth="1"/>
    <col min="12559" max="12559" width="26.5703125" style="38" bestFit="1" customWidth="1"/>
    <col min="12560" max="12560" width="29.28515625" style="38" bestFit="1" customWidth="1"/>
    <col min="12561" max="12570" width="6.7109375" style="38" customWidth="1"/>
    <col min="12571" max="12800" width="8.7109375" style="38"/>
    <col min="12801" max="12801" width="43.7109375" style="38" customWidth="1"/>
    <col min="12802" max="12802" width="12.5703125" style="38" customWidth="1"/>
    <col min="12803" max="12803" width="8.7109375" style="38"/>
    <col min="12804" max="12804" width="11.42578125" style="38" customWidth="1"/>
    <col min="12805" max="12805" width="9.42578125" style="38" customWidth="1"/>
    <col min="12806" max="12806" width="9.7109375" style="38" bestFit="1" customWidth="1"/>
    <col min="12807" max="12807" width="8.7109375" style="38"/>
    <col min="12808" max="12808" width="25" style="38" customWidth="1"/>
    <col min="12809" max="12809" width="9.5703125" style="38" customWidth="1"/>
    <col min="12810" max="12811" width="8.7109375" style="38"/>
    <col min="12812" max="12812" width="11.28515625" style="38" bestFit="1" customWidth="1"/>
    <col min="12813" max="12813" width="12.140625" style="38" customWidth="1"/>
    <col min="12814" max="12814" width="13.7109375" style="38" customWidth="1"/>
    <col min="12815" max="12815" width="26.5703125" style="38" bestFit="1" customWidth="1"/>
    <col min="12816" max="12816" width="29.28515625" style="38" bestFit="1" customWidth="1"/>
    <col min="12817" max="12826" width="6.7109375" style="38" customWidth="1"/>
    <col min="12827" max="13056" width="8.7109375" style="38"/>
    <col min="13057" max="13057" width="43.7109375" style="38" customWidth="1"/>
    <col min="13058" max="13058" width="12.5703125" style="38" customWidth="1"/>
    <col min="13059" max="13059" width="8.7109375" style="38"/>
    <col min="13060" max="13060" width="11.42578125" style="38" customWidth="1"/>
    <col min="13061" max="13061" width="9.42578125" style="38" customWidth="1"/>
    <col min="13062" max="13062" width="9.7109375" style="38" bestFit="1" customWidth="1"/>
    <col min="13063" max="13063" width="8.7109375" style="38"/>
    <col min="13064" max="13064" width="25" style="38" customWidth="1"/>
    <col min="13065" max="13065" width="9.5703125" style="38" customWidth="1"/>
    <col min="13066" max="13067" width="8.7109375" style="38"/>
    <col min="13068" max="13068" width="11.28515625" style="38" bestFit="1" customWidth="1"/>
    <col min="13069" max="13069" width="12.140625" style="38" customWidth="1"/>
    <col min="13070" max="13070" width="13.7109375" style="38" customWidth="1"/>
    <col min="13071" max="13071" width="26.5703125" style="38" bestFit="1" customWidth="1"/>
    <col min="13072" max="13072" width="29.28515625" style="38" bestFit="1" customWidth="1"/>
    <col min="13073" max="13082" width="6.7109375" style="38" customWidth="1"/>
    <col min="13083" max="13312" width="8.7109375" style="38"/>
    <col min="13313" max="13313" width="43.7109375" style="38" customWidth="1"/>
    <col min="13314" max="13314" width="12.5703125" style="38" customWidth="1"/>
    <col min="13315" max="13315" width="8.7109375" style="38"/>
    <col min="13316" max="13316" width="11.42578125" style="38" customWidth="1"/>
    <col min="13317" max="13317" width="9.42578125" style="38" customWidth="1"/>
    <col min="13318" max="13318" width="9.7109375" style="38" bestFit="1" customWidth="1"/>
    <col min="13319" max="13319" width="8.7109375" style="38"/>
    <col min="13320" max="13320" width="25" style="38" customWidth="1"/>
    <col min="13321" max="13321" width="9.5703125" style="38" customWidth="1"/>
    <col min="13322" max="13323" width="8.7109375" style="38"/>
    <col min="13324" max="13324" width="11.28515625" style="38" bestFit="1" customWidth="1"/>
    <col min="13325" max="13325" width="12.140625" style="38" customWidth="1"/>
    <col min="13326" max="13326" width="13.7109375" style="38" customWidth="1"/>
    <col min="13327" max="13327" width="26.5703125" style="38" bestFit="1" customWidth="1"/>
    <col min="13328" max="13328" width="29.28515625" style="38" bestFit="1" customWidth="1"/>
    <col min="13329" max="13338" width="6.7109375" style="38" customWidth="1"/>
    <col min="13339" max="13568" width="8.7109375" style="38"/>
    <col min="13569" max="13569" width="43.7109375" style="38" customWidth="1"/>
    <col min="13570" max="13570" width="12.5703125" style="38" customWidth="1"/>
    <col min="13571" max="13571" width="8.7109375" style="38"/>
    <col min="13572" max="13572" width="11.42578125" style="38" customWidth="1"/>
    <col min="13573" max="13573" width="9.42578125" style="38" customWidth="1"/>
    <col min="13574" max="13574" width="9.7109375" style="38" bestFit="1" customWidth="1"/>
    <col min="13575" max="13575" width="8.7109375" style="38"/>
    <col min="13576" max="13576" width="25" style="38" customWidth="1"/>
    <col min="13577" max="13577" width="9.5703125" style="38" customWidth="1"/>
    <col min="13578" max="13579" width="8.7109375" style="38"/>
    <col min="13580" max="13580" width="11.28515625" style="38" bestFit="1" customWidth="1"/>
    <col min="13581" max="13581" width="12.140625" style="38" customWidth="1"/>
    <col min="13582" max="13582" width="13.7109375" style="38" customWidth="1"/>
    <col min="13583" max="13583" width="26.5703125" style="38" bestFit="1" customWidth="1"/>
    <col min="13584" max="13584" width="29.28515625" style="38" bestFit="1" customWidth="1"/>
    <col min="13585" max="13594" width="6.7109375" style="38" customWidth="1"/>
    <col min="13595" max="13824" width="8.7109375" style="38"/>
    <col min="13825" max="13825" width="43.7109375" style="38" customWidth="1"/>
    <col min="13826" max="13826" width="12.5703125" style="38" customWidth="1"/>
    <col min="13827" max="13827" width="8.7109375" style="38"/>
    <col min="13828" max="13828" width="11.42578125" style="38" customWidth="1"/>
    <col min="13829" max="13829" width="9.42578125" style="38" customWidth="1"/>
    <col min="13830" max="13830" width="9.7109375" style="38" bestFit="1" customWidth="1"/>
    <col min="13831" max="13831" width="8.7109375" style="38"/>
    <col min="13832" max="13832" width="25" style="38" customWidth="1"/>
    <col min="13833" max="13833" width="9.5703125" style="38" customWidth="1"/>
    <col min="13834" max="13835" width="8.7109375" style="38"/>
    <col min="13836" max="13836" width="11.28515625" style="38" bestFit="1" customWidth="1"/>
    <col min="13837" max="13837" width="12.140625" style="38" customWidth="1"/>
    <col min="13838" max="13838" width="13.7109375" style="38" customWidth="1"/>
    <col min="13839" max="13839" width="26.5703125" style="38" bestFit="1" customWidth="1"/>
    <col min="13840" max="13840" width="29.28515625" style="38" bestFit="1" customWidth="1"/>
    <col min="13841" max="13850" width="6.7109375" style="38" customWidth="1"/>
    <col min="13851" max="14080" width="8.7109375" style="38"/>
    <col min="14081" max="14081" width="43.7109375" style="38" customWidth="1"/>
    <col min="14082" max="14082" width="12.5703125" style="38" customWidth="1"/>
    <col min="14083" max="14083" width="8.7109375" style="38"/>
    <col min="14084" max="14084" width="11.42578125" style="38" customWidth="1"/>
    <col min="14085" max="14085" width="9.42578125" style="38" customWidth="1"/>
    <col min="14086" max="14086" width="9.7109375" style="38" bestFit="1" customWidth="1"/>
    <col min="14087" max="14087" width="8.7109375" style="38"/>
    <col min="14088" max="14088" width="25" style="38" customWidth="1"/>
    <col min="14089" max="14089" width="9.5703125" style="38" customWidth="1"/>
    <col min="14090" max="14091" width="8.7109375" style="38"/>
    <col min="14092" max="14092" width="11.28515625" style="38" bestFit="1" customWidth="1"/>
    <col min="14093" max="14093" width="12.140625" style="38" customWidth="1"/>
    <col min="14094" max="14094" width="13.7109375" style="38" customWidth="1"/>
    <col min="14095" max="14095" width="26.5703125" style="38" bestFit="1" customWidth="1"/>
    <col min="14096" max="14096" width="29.28515625" style="38" bestFit="1" customWidth="1"/>
    <col min="14097" max="14106" width="6.7109375" style="38" customWidth="1"/>
    <col min="14107" max="14336" width="8.7109375" style="38"/>
    <col min="14337" max="14337" width="43.7109375" style="38" customWidth="1"/>
    <col min="14338" max="14338" width="12.5703125" style="38" customWidth="1"/>
    <col min="14339" max="14339" width="8.7109375" style="38"/>
    <col min="14340" max="14340" width="11.42578125" style="38" customWidth="1"/>
    <col min="14341" max="14341" width="9.42578125" style="38" customWidth="1"/>
    <col min="14342" max="14342" width="9.7109375" style="38" bestFit="1" customWidth="1"/>
    <col min="14343" max="14343" width="8.7109375" style="38"/>
    <col min="14344" max="14344" width="25" style="38" customWidth="1"/>
    <col min="14345" max="14345" width="9.5703125" style="38" customWidth="1"/>
    <col min="14346" max="14347" width="8.7109375" style="38"/>
    <col min="14348" max="14348" width="11.28515625" style="38" bestFit="1" customWidth="1"/>
    <col min="14349" max="14349" width="12.140625" style="38" customWidth="1"/>
    <col min="14350" max="14350" width="13.7109375" style="38" customWidth="1"/>
    <col min="14351" max="14351" width="26.5703125" style="38" bestFit="1" customWidth="1"/>
    <col min="14352" max="14352" width="29.28515625" style="38" bestFit="1" customWidth="1"/>
    <col min="14353" max="14362" width="6.7109375" style="38" customWidth="1"/>
    <col min="14363" max="14592" width="8.7109375" style="38"/>
    <col min="14593" max="14593" width="43.7109375" style="38" customWidth="1"/>
    <col min="14594" max="14594" width="12.5703125" style="38" customWidth="1"/>
    <col min="14595" max="14595" width="8.7109375" style="38"/>
    <col min="14596" max="14596" width="11.42578125" style="38" customWidth="1"/>
    <col min="14597" max="14597" width="9.42578125" style="38" customWidth="1"/>
    <col min="14598" max="14598" width="9.7109375" style="38" bestFit="1" customWidth="1"/>
    <col min="14599" max="14599" width="8.7109375" style="38"/>
    <col min="14600" max="14600" width="25" style="38" customWidth="1"/>
    <col min="14601" max="14601" width="9.5703125" style="38" customWidth="1"/>
    <col min="14602" max="14603" width="8.7109375" style="38"/>
    <col min="14604" max="14604" width="11.28515625" style="38" bestFit="1" customWidth="1"/>
    <col min="14605" max="14605" width="12.140625" style="38" customWidth="1"/>
    <col min="14606" max="14606" width="13.7109375" style="38" customWidth="1"/>
    <col min="14607" max="14607" width="26.5703125" style="38" bestFit="1" customWidth="1"/>
    <col min="14608" max="14608" width="29.28515625" style="38" bestFit="1" customWidth="1"/>
    <col min="14609" max="14618" width="6.7109375" style="38" customWidth="1"/>
    <col min="14619" max="14848" width="8.7109375" style="38"/>
    <col min="14849" max="14849" width="43.7109375" style="38" customWidth="1"/>
    <col min="14850" max="14850" width="12.5703125" style="38" customWidth="1"/>
    <col min="14851" max="14851" width="8.7109375" style="38"/>
    <col min="14852" max="14852" width="11.42578125" style="38" customWidth="1"/>
    <col min="14853" max="14853" width="9.42578125" style="38" customWidth="1"/>
    <col min="14854" max="14854" width="9.7109375" style="38" bestFit="1" customWidth="1"/>
    <col min="14855" max="14855" width="8.7109375" style="38"/>
    <col min="14856" max="14856" width="25" style="38" customWidth="1"/>
    <col min="14857" max="14857" width="9.5703125" style="38" customWidth="1"/>
    <col min="14858" max="14859" width="8.7109375" style="38"/>
    <col min="14860" max="14860" width="11.28515625" style="38" bestFit="1" customWidth="1"/>
    <col min="14861" max="14861" width="12.140625" style="38" customWidth="1"/>
    <col min="14862" max="14862" width="13.7109375" style="38" customWidth="1"/>
    <col min="14863" max="14863" width="26.5703125" style="38" bestFit="1" customWidth="1"/>
    <col min="14864" max="14864" width="29.28515625" style="38" bestFit="1" customWidth="1"/>
    <col min="14865" max="14874" width="6.7109375" style="38" customWidth="1"/>
    <col min="14875" max="15104" width="8.7109375" style="38"/>
    <col min="15105" max="15105" width="43.7109375" style="38" customWidth="1"/>
    <col min="15106" max="15106" width="12.5703125" style="38" customWidth="1"/>
    <col min="15107" max="15107" width="8.7109375" style="38"/>
    <col min="15108" max="15108" width="11.42578125" style="38" customWidth="1"/>
    <col min="15109" max="15109" width="9.42578125" style="38" customWidth="1"/>
    <col min="15110" max="15110" width="9.7109375" style="38" bestFit="1" customWidth="1"/>
    <col min="15111" max="15111" width="8.7109375" style="38"/>
    <col min="15112" max="15112" width="25" style="38" customWidth="1"/>
    <col min="15113" max="15113" width="9.5703125" style="38" customWidth="1"/>
    <col min="15114" max="15115" width="8.7109375" style="38"/>
    <col min="15116" max="15116" width="11.28515625" style="38" bestFit="1" customWidth="1"/>
    <col min="15117" max="15117" width="12.140625" style="38" customWidth="1"/>
    <col min="15118" max="15118" width="13.7109375" style="38" customWidth="1"/>
    <col min="15119" max="15119" width="26.5703125" style="38" bestFit="1" customWidth="1"/>
    <col min="15120" max="15120" width="29.28515625" style="38" bestFit="1" customWidth="1"/>
    <col min="15121" max="15130" width="6.7109375" style="38" customWidth="1"/>
    <col min="15131" max="15360" width="8.7109375" style="38"/>
    <col min="15361" max="15361" width="43.7109375" style="38" customWidth="1"/>
    <col min="15362" max="15362" width="12.5703125" style="38" customWidth="1"/>
    <col min="15363" max="15363" width="8.7109375" style="38"/>
    <col min="15364" max="15364" width="11.42578125" style="38" customWidth="1"/>
    <col min="15365" max="15365" width="9.42578125" style="38" customWidth="1"/>
    <col min="15366" max="15366" width="9.7109375" style="38" bestFit="1" customWidth="1"/>
    <col min="15367" max="15367" width="8.7109375" style="38"/>
    <col min="15368" max="15368" width="25" style="38" customWidth="1"/>
    <col min="15369" max="15369" width="9.5703125" style="38" customWidth="1"/>
    <col min="15370" max="15371" width="8.7109375" style="38"/>
    <col min="15372" max="15372" width="11.28515625" style="38" bestFit="1" customWidth="1"/>
    <col min="15373" max="15373" width="12.140625" style="38" customWidth="1"/>
    <col min="15374" max="15374" width="13.7109375" style="38" customWidth="1"/>
    <col min="15375" max="15375" width="26.5703125" style="38" bestFit="1" customWidth="1"/>
    <col min="15376" max="15376" width="29.28515625" style="38" bestFit="1" customWidth="1"/>
    <col min="15377" max="15386" width="6.7109375" style="38" customWidth="1"/>
    <col min="15387" max="15616" width="8.7109375" style="38"/>
    <col min="15617" max="15617" width="43.7109375" style="38" customWidth="1"/>
    <col min="15618" max="15618" width="12.5703125" style="38" customWidth="1"/>
    <col min="15619" max="15619" width="8.7109375" style="38"/>
    <col min="15620" max="15620" width="11.42578125" style="38" customWidth="1"/>
    <col min="15621" max="15621" width="9.42578125" style="38" customWidth="1"/>
    <col min="15622" max="15622" width="9.7109375" style="38" bestFit="1" customWidth="1"/>
    <col min="15623" max="15623" width="8.7109375" style="38"/>
    <col min="15624" max="15624" width="25" style="38" customWidth="1"/>
    <col min="15625" max="15625" width="9.5703125" style="38" customWidth="1"/>
    <col min="15626" max="15627" width="8.7109375" style="38"/>
    <col min="15628" max="15628" width="11.28515625" style="38" bestFit="1" customWidth="1"/>
    <col min="15629" max="15629" width="12.140625" style="38" customWidth="1"/>
    <col min="15630" max="15630" width="13.7109375" style="38" customWidth="1"/>
    <col min="15631" max="15631" width="26.5703125" style="38" bestFit="1" customWidth="1"/>
    <col min="15632" max="15632" width="29.28515625" style="38" bestFit="1" customWidth="1"/>
    <col min="15633" max="15642" width="6.7109375" style="38" customWidth="1"/>
    <col min="15643" max="15872" width="8.7109375" style="38"/>
    <col min="15873" max="15873" width="43.7109375" style="38" customWidth="1"/>
    <col min="15874" max="15874" width="12.5703125" style="38" customWidth="1"/>
    <col min="15875" max="15875" width="8.7109375" style="38"/>
    <col min="15876" max="15876" width="11.42578125" style="38" customWidth="1"/>
    <col min="15877" max="15877" width="9.42578125" style="38" customWidth="1"/>
    <col min="15878" max="15878" width="9.7109375" style="38" bestFit="1" customWidth="1"/>
    <col min="15879" max="15879" width="8.7109375" style="38"/>
    <col min="15880" max="15880" width="25" style="38" customWidth="1"/>
    <col min="15881" max="15881" width="9.5703125" style="38" customWidth="1"/>
    <col min="15882" max="15883" width="8.7109375" style="38"/>
    <col min="15884" max="15884" width="11.28515625" style="38" bestFit="1" customWidth="1"/>
    <col min="15885" max="15885" width="12.140625" style="38" customWidth="1"/>
    <col min="15886" max="15886" width="13.7109375" style="38" customWidth="1"/>
    <col min="15887" max="15887" width="26.5703125" style="38" bestFit="1" customWidth="1"/>
    <col min="15888" max="15888" width="29.28515625" style="38" bestFit="1" customWidth="1"/>
    <col min="15889" max="15898" width="6.7109375" style="38" customWidth="1"/>
    <col min="15899" max="16128" width="8.7109375" style="38"/>
    <col min="16129" max="16129" width="43.7109375" style="38" customWidth="1"/>
    <col min="16130" max="16130" width="12.5703125" style="38" customWidth="1"/>
    <col min="16131" max="16131" width="8.7109375" style="38"/>
    <col min="16132" max="16132" width="11.42578125" style="38" customWidth="1"/>
    <col min="16133" max="16133" width="9.42578125" style="38" customWidth="1"/>
    <col min="16134" max="16134" width="9.7109375" style="38" bestFit="1" customWidth="1"/>
    <col min="16135" max="16135" width="8.7109375" style="38"/>
    <col min="16136" max="16136" width="25" style="38" customWidth="1"/>
    <col min="16137" max="16137" width="9.5703125" style="38" customWidth="1"/>
    <col min="16138" max="16139" width="8.7109375" style="38"/>
    <col min="16140" max="16140" width="11.28515625" style="38" bestFit="1" customWidth="1"/>
    <col min="16141" max="16141" width="12.140625" style="38" customWidth="1"/>
    <col min="16142" max="16142" width="13.7109375" style="38" customWidth="1"/>
    <col min="16143" max="16143" width="26.5703125" style="38" bestFit="1" customWidth="1"/>
    <col min="16144" max="16144" width="29.28515625" style="38" bestFit="1" customWidth="1"/>
    <col min="16145" max="16154" width="6.7109375" style="38" customWidth="1"/>
    <col min="16155" max="16384" width="8.7109375" style="38"/>
  </cols>
  <sheetData>
    <row r="1" spans="1:14" ht="24.95" customHeight="1" x14ac:dyDescent="0.25">
      <c r="A1" s="1" t="s">
        <v>0</v>
      </c>
      <c r="B1" s="1">
        <v>2</v>
      </c>
      <c r="C1" s="2" t="s">
        <v>211</v>
      </c>
      <c r="H1" s="4" t="s">
        <v>2</v>
      </c>
      <c r="I1" s="5"/>
      <c r="J1" s="3"/>
      <c r="K1" s="3"/>
      <c r="L1" s="3"/>
      <c r="M1" s="3"/>
      <c r="N1" s="3"/>
    </row>
    <row r="2" spans="1:14" ht="15" customHeight="1" x14ac:dyDescent="0.25">
      <c r="A2" s="6"/>
      <c r="B2" s="7" t="s">
        <v>3</v>
      </c>
      <c r="C2" s="8"/>
      <c r="D2" s="292" t="s">
        <v>4</v>
      </c>
      <c r="E2" s="293"/>
      <c r="F2" s="294" t="s">
        <v>5</v>
      </c>
      <c r="H2" s="3"/>
      <c r="I2" s="3"/>
      <c r="J2" s="3"/>
      <c r="K2" s="3"/>
      <c r="L2" s="3"/>
      <c r="M2" s="3"/>
      <c r="N2" s="3"/>
    </row>
    <row r="3" spans="1:14" ht="15" customHeight="1" x14ac:dyDescent="0.25">
      <c r="A3" s="9" t="s">
        <v>6</v>
      </c>
      <c r="B3" s="285">
        <v>58495.249399694701</v>
      </c>
      <c r="C3" s="10">
        <f>SUM(C4:C5)</f>
        <v>1</v>
      </c>
      <c r="D3" s="297" t="e">
        <f>SUM(D4:D5)</f>
        <v>#VALUE!</v>
      </c>
      <c r="E3" s="296" t="e">
        <f>D3/$D$3</f>
        <v>#VALUE!</v>
      </c>
      <c r="F3" s="298" t="s">
        <v>7</v>
      </c>
      <c r="H3" s="9" t="s">
        <v>8</v>
      </c>
      <c r="I3" s="11">
        <v>0</v>
      </c>
      <c r="J3" s="12" t="s">
        <v>9</v>
      </c>
      <c r="K3" s="3"/>
      <c r="L3" s="13" t="s">
        <v>10</v>
      </c>
      <c r="M3" s="14">
        <v>0.7</v>
      </c>
      <c r="N3" s="15">
        <f>M3*B3</f>
        <v>40946.67457978629</v>
      </c>
    </row>
    <row r="4" spans="1:14" ht="15" customHeight="1" x14ac:dyDescent="0.25">
      <c r="A4" s="16" t="s">
        <v>11</v>
      </c>
      <c r="B4" s="17">
        <f>C4*B3</f>
        <v>50028.061678746009</v>
      </c>
      <c r="C4" s="18">
        <v>0.85524999366883825</v>
      </c>
      <c r="D4" s="307" t="e">
        <f>SUMIFS([18]Ram!G2:G993,[18]Ram!C2:C993,230,[18]Ram!F2:F993,"S")</f>
        <v>#VALUE!</v>
      </c>
      <c r="E4" s="308" t="e">
        <f>D4/$D$3</f>
        <v>#VALUE!</v>
      </c>
      <c r="F4" s="309" t="e">
        <f>B4/D4</f>
        <v>#VALUE!</v>
      </c>
      <c r="H4" s="3"/>
      <c r="I4" s="3"/>
      <c r="J4" s="3"/>
      <c r="K4" s="3"/>
      <c r="L4" s="13" t="s">
        <v>12</v>
      </c>
      <c r="M4" s="14">
        <v>0.3</v>
      </c>
      <c r="N4" s="15">
        <f>M4*B3</f>
        <v>17548.574819908408</v>
      </c>
    </row>
    <row r="5" spans="1:14" ht="15" customHeight="1" x14ac:dyDescent="0.25">
      <c r="A5" s="19" t="s">
        <v>13</v>
      </c>
      <c r="B5" s="20">
        <f>C5*B3</f>
        <v>8467.1877209486938</v>
      </c>
      <c r="C5" s="21">
        <f>1-C4</f>
        <v>0.14475000633116175</v>
      </c>
      <c r="D5" s="313" t="e">
        <f>SUMIFS([18]Ram!G2:G993,[18]Ram!C2:C993,115,[18]Ram!F2:F993,"S")</f>
        <v>#VALUE!</v>
      </c>
      <c r="E5" s="314" t="e">
        <f>D5/$D$3</f>
        <v>#VALUE!</v>
      </c>
      <c r="F5" s="315" t="e">
        <f>B5/D5</f>
        <v>#VALUE!</v>
      </c>
      <c r="H5" s="3"/>
      <c r="I5" s="3"/>
      <c r="J5" s="3"/>
      <c r="K5" s="3"/>
      <c r="L5" s="3"/>
      <c r="M5" s="3"/>
      <c r="N5" s="3"/>
    </row>
    <row r="6" spans="1:14" ht="15" customHeight="1" x14ac:dyDescent="0.25">
      <c r="A6" s="22"/>
      <c r="B6" s="22"/>
      <c r="C6" s="23"/>
      <c r="E6" s="316"/>
      <c r="H6" s="3"/>
      <c r="I6" s="3"/>
      <c r="J6" s="3"/>
      <c r="K6" s="3"/>
      <c r="L6" s="24" t="s">
        <v>14</v>
      </c>
      <c r="M6" s="25">
        <f>[18]ENERGIA!L17</f>
        <v>0</v>
      </c>
      <c r="N6" s="26" t="s">
        <v>15</v>
      </c>
    </row>
    <row r="7" spans="1:14" ht="15" customHeight="1" x14ac:dyDescent="0.25">
      <c r="A7" s="27" t="s">
        <v>16</v>
      </c>
      <c r="B7" s="285">
        <v>40722.153909291999</v>
      </c>
      <c r="C7" s="10">
        <v>1</v>
      </c>
      <c r="D7" s="320" t="e">
        <f>SUMIF([18]Ram!F3:F993,"SD",[18]Ram!G3:G993)</f>
        <v>#VALUE!</v>
      </c>
      <c r="E7" s="296">
        <v>1</v>
      </c>
      <c r="F7" s="321" t="e">
        <f>IF(B7&gt;0,B7/D7,0)</f>
        <v>#VALUE!</v>
      </c>
      <c r="G7" s="38" t="s">
        <v>295</v>
      </c>
      <c r="H7" s="9" t="s">
        <v>17</v>
      </c>
      <c r="I7" s="11">
        <v>0</v>
      </c>
      <c r="J7" s="12" t="s">
        <v>9</v>
      </c>
      <c r="K7" s="3"/>
      <c r="L7" s="28" t="s">
        <v>18</v>
      </c>
      <c r="M7" s="29">
        <f>[18]ENERGIA!L2</f>
        <v>0</v>
      </c>
      <c r="N7" s="30" t="s">
        <v>15</v>
      </c>
    </row>
    <row r="9" spans="1:14" ht="15" customHeight="1" x14ac:dyDescent="0.25">
      <c r="A9" s="496" t="s">
        <v>19</v>
      </c>
      <c r="B9" s="496"/>
      <c r="C9" s="496"/>
      <c r="D9" s="496"/>
      <c r="E9" s="496"/>
      <c r="F9" s="496"/>
      <c r="G9" s="496"/>
      <c r="H9" s="496"/>
      <c r="I9" s="496"/>
      <c r="J9" s="496"/>
      <c r="K9" s="496"/>
      <c r="L9" s="496"/>
    </row>
    <row r="10" spans="1:14" ht="15" customHeight="1" x14ac:dyDescent="0.25">
      <c r="A10" s="325" t="s">
        <v>20</v>
      </c>
      <c r="B10" s="326">
        <v>1</v>
      </c>
      <c r="C10" s="327">
        <v>2</v>
      </c>
      <c r="D10" s="327">
        <v>3</v>
      </c>
      <c r="E10" s="327">
        <v>4</v>
      </c>
      <c r="F10" s="327">
        <v>5</v>
      </c>
      <c r="G10" s="327">
        <v>6</v>
      </c>
      <c r="H10" s="327">
        <v>7</v>
      </c>
      <c r="I10" s="327">
        <v>8</v>
      </c>
      <c r="J10" s="327">
        <v>9</v>
      </c>
      <c r="K10" s="328">
        <v>10</v>
      </c>
      <c r="L10" s="329" t="s">
        <v>21</v>
      </c>
    </row>
    <row r="11" spans="1:14" ht="15" customHeight="1" x14ac:dyDescent="0.25">
      <c r="A11" s="330" t="s">
        <v>22</v>
      </c>
      <c r="B11" s="331">
        <f t="shared" ref="B11:K11" si="0">SUMIF($G$17:$G$995,B$10,$D$17:$D$995)</f>
        <v>294.17</v>
      </c>
      <c r="C11" s="331">
        <f t="shared" si="0"/>
        <v>428.69</v>
      </c>
      <c r="D11" s="331">
        <f t="shared" si="0"/>
        <v>152.99</v>
      </c>
      <c r="E11" s="331">
        <f t="shared" si="0"/>
        <v>408.96000000000004</v>
      </c>
      <c r="F11" s="331">
        <f t="shared" si="0"/>
        <v>770.5586209999999</v>
      </c>
      <c r="G11" s="331">
        <f t="shared" si="0"/>
        <v>147</v>
      </c>
      <c r="H11" s="331">
        <f t="shared" si="0"/>
        <v>159.33000000000001</v>
      </c>
      <c r="I11" s="331">
        <f t="shared" si="0"/>
        <v>260</v>
      </c>
      <c r="J11" s="331">
        <f t="shared" si="0"/>
        <v>740.25</v>
      </c>
      <c r="K11" s="331">
        <f t="shared" si="0"/>
        <v>252.17</v>
      </c>
      <c r="L11" s="332">
        <f>SUM(B11:K11)</f>
        <v>3614.1186209999996</v>
      </c>
      <c r="M11" s="415">
        <f>SUM(D17,D37,D45,D53,D93,D140,D147,D154,D157,D166)</f>
        <v>3614.1186209999996</v>
      </c>
    </row>
    <row r="12" spans="1:14" ht="15" customHeight="1" x14ac:dyDescent="0.25">
      <c r="A12" s="334" t="s">
        <v>23</v>
      </c>
      <c r="B12" s="335">
        <f>SUMIF($M$17:$M$998,B$10,$K$17:$K$998)</f>
        <v>19.914304269917743</v>
      </c>
      <c r="C12" s="335">
        <f t="shared" ref="C12:K12" si="1">SUMIF($M$18:$M$998,C$10,$K$18:$K$998)</f>
        <v>0</v>
      </c>
      <c r="D12" s="335">
        <f t="shared" si="1"/>
        <v>9.1459859130985102E-2</v>
      </c>
      <c r="E12" s="335">
        <f t="shared" si="1"/>
        <v>123.57224114539488</v>
      </c>
      <c r="F12" s="335">
        <f t="shared" si="1"/>
        <v>413.7669373519351</v>
      </c>
      <c r="G12" s="335">
        <f t="shared" si="1"/>
        <v>180.24893333333333</v>
      </c>
      <c r="H12" s="335">
        <f t="shared" si="1"/>
        <v>1123.6969575106157</v>
      </c>
      <c r="I12" s="335">
        <f t="shared" si="1"/>
        <v>1.31</v>
      </c>
      <c r="J12" s="335">
        <f t="shared" si="1"/>
        <v>148.55000000000001</v>
      </c>
      <c r="K12" s="335">
        <f t="shared" si="1"/>
        <v>64.363653074839306</v>
      </c>
      <c r="L12" s="336">
        <f>SUM(B12:K12)</f>
        <v>2075.5144865451671</v>
      </c>
      <c r="M12" s="333">
        <f>SUM(K17,K22,K24,K28,K35,K45,K52,K71,K75,K83)</f>
        <v>2075.5144865451671</v>
      </c>
      <c r="N12" s="435"/>
    </row>
    <row r="13" spans="1:14" ht="15" customHeight="1" x14ac:dyDescent="0.25">
      <c r="M13" s="337"/>
    </row>
    <row r="15" spans="1:14" ht="15" customHeight="1" x14ac:dyDescent="0.25">
      <c r="A15" s="416" t="s">
        <v>24</v>
      </c>
      <c r="B15" s="417"/>
      <c r="C15" s="417"/>
      <c r="D15" s="417"/>
      <c r="E15" s="417"/>
      <c r="F15" s="417"/>
      <c r="G15" s="418"/>
      <c r="H15" s="416" t="s">
        <v>25</v>
      </c>
      <c r="I15" s="417"/>
      <c r="J15" s="417"/>
      <c r="K15" s="417"/>
      <c r="L15" s="417"/>
      <c r="M15" s="417"/>
    </row>
    <row r="16" spans="1:14" ht="25.5" x14ac:dyDescent="0.25">
      <c r="A16" s="419" t="s">
        <v>26</v>
      </c>
      <c r="B16" s="420"/>
      <c r="C16" s="421" t="s">
        <v>27</v>
      </c>
      <c r="D16" s="32" t="s">
        <v>22</v>
      </c>
      <c r="E16" s="32" t="s">
        <v>28</v>
      </c>
      <c r="F16" s="354"/>
      <c r="G16" s="354"/>
      <c r="H16" s="422" t="s">
        <v>26</v>
      </c>
      <c r="I16" s="423"/>
      <c r="J16" s="424" t="s">
        <v>27</v>
      </c>
      <c r="K16" s="425" t="s">
        <v>23</v>
      </c>
      <c r="L16" s="354"/>
      <c r="M16" s="354"/>
    </row>
    <row r="17" spans="1:14" ht="15" customHeight="1" x14ac:dyDescent="0.25">
      <c r="A17" s="33">
        <v>1</v>
      </c>
      <c r="B17" s="34"/>
      <c r="C17" s="46"/>
      <c r="D17" s="47">
        <f>SUM(D18:D35)</f>
        <v>294.17</v>
      </c>
      <c r="E17" s="436"/>
      <c r="F17" s="31"/>
      <c r="G17" s="31"/>
      <c r="H17" s="437">
        <v>1</v>
      </c>
      <c r="I17" s="438"/>
      <c r="J17" s="437"/>
      <c r="K17" s="439">
        <f>SUM(K18:K21)</f>
        <v>19.914304269917743</v>
      </c>
      <c r="L17" s="337"/>
      <c r="M17" s="337"/>
      <c r="N17" s="435"/>
    </row>
    <row r="18" spans="1:14" ht="15" customHeight="1" x14ac:dyDescent="0.25">
      <c r="A18" s="440" t="s">
        <v>30</v>
      </c>
      <c r="C18" s="39">
        <v>6014</v>
      </c>
      <c r="D18" s="441">
        <v>87.6</v>
      </c>
      <c r="E18" s="442">
        <v>0</v>
      </c>
      <c r="F18" s="31" t="str">
        <f>IFERROR(VLOOKUP($C18,[18]Nod!$A$3:$E$992,4,FALSE)," ")</f>
        <v>PRO230</v>
      </c>
      <c r="G18" s="31">
        <f>IFERROR(VLOOKUP($C18,[18]Nod!$A$3:$E$992,5,FALSE)," ")</f>
        <v>1</v>
      </c>
      <c r="H18" s="429" t="s">
        <v>31</v>
      </c>
      <c r="I18" s="79"/>
      <c r="J18" s="428"/>
      <c r="K18" s="90"/>
      <c r="L18" s="337"/>
      <c r="M18" s="337"/>
    </row>
    <row r="19" spans="1:14" ht="15" customHeight="1" x14ac:dyDescent="0.25">
      <c r="A19" s="440" t="s">
        <v>32</v>
      </c>
      <c r="C19" s="39">
        <v>6014</v>
      </c>
      <c r="D19" s="441">
        <v>57.4</v>
      </c>
      <c r="E19" s="442">
        <v>0</v>
      </c>
      <c r="F19" s="31" t="str">
        <f>IFERROR(VLOOKUP($C19,[18]Nod!$A$3:$E$992,4,FALSE)," ")</f>
        <v>PRO230</v>
      </c>
      <c r="G19" s="31">
        <f>IFERROR(VLOOKUP($C19,[18]Nod!$A$3:$E$992,5,FALSE)," ")</f>
        <v>1</v>
      </c>
      <c r="H19" s="95" t="s">
        <v>33</v>
      </c>
      <c r="I19" s="79"/>
      <c r="J19" s="428">
        <v>6014</v>
      </c>
      <c r="K19" s="75">
        <v>16.510000000000002</v>
      </c>
      <c r="L19" s="337" t="str">
        <f>VLOOKUP($J19,[18]Nod!$A$3:$E$991,4,FALSE)</f>
        <v>PRO230</v>
      </c>
      <c r="M19" s="337">
        <f>VLOOKUP($J19,[18]Nod!$A$3:$E$991,5,FALSE)</f>
        <v>1</v>
      </c>
    </row>
    <row r="20" spans="1:14" ht="15" customHeight="1" x14ac:dyDescent="0.25">
      <c r="A20" s="440" t="s">
        <v>34</v>
      </c>
      <c r="C20" s="39">
        <v>6014</v>
      </c>
      <c r="D20" s="441">
        <v>30</v>
      </c>
      <c r="E20" s="442">
        <v>0</v>
      </c>
      <c r="F20" s="31" t="str">
        <f>IFERROR(VLOOKUP($C20,[18]Nod!$A$3:$E$992,4,FALSE)," ")</f>
        <v>PRO230</v>
      </c>
      <c r="G20" s="31">
        <f>IFERROR(VLOOKUP($C20,[18]Nod!$A$3:$E$992,5,FALSE)," ")</f>
        <v>1</v>
      </c>
      <c r="H20" s="95" t="s">
        <v>35</v>
      </c>
      <c r="I20" s="79"/>
      <c r="J20" s="428">
        <v>6014</v>
      </c>
      <c r="K20" s="75">
        <v>3.4043042699177399</v>
      </c>
      <c r="L20" s="337" t="str">
        <f>VLOOKUP($J20,[18]Nod!$A$3:$E$991,4,FALSE)</f>
        <v>PRO230</v>
      </c>
      <c r="M20" s="337">
        <f>VLOOKUP($J20,[18]Nod!$A$3:$E$991,5,FALSE)</f>
        <v>1</v>
      </c>
    </row>
    <row r="21" spans="1:14" ht="15" customHeight="1" x14ac:dyDescent="0.25">
      <c r="A21" s="440" t="s">
        <v>36</v>
      </c>
      <c r="C21" s="39">
        <v>6014</v>
      </c>
      <c r="D21" s="441">
        <v>27.9</v>
      </c>
      <c r="E21" s="442">
        <v>0</v>
      </c>
      <c r="F21" s="31" t="str">
        <f>IFERROR(VLOOKUP($C21,[18]Nod!$A$3:$E$992,4,FALSE)," ")</f>
        <v>PRO230</v>
      </c>
      <c r="G21" s="31">
        <f>IFERROR(VLOOKUP($C21,[18]Nod!$A$3:$E$992,5,FALSE)," ")</f>
        <v>1</v>
      </c>
      <c r="H21" s="443" t="s">
        <v>37</v>
      </c>
      <c r="I21" s="444"/>
      <c r="J21" s="445"/>
      <c r="K21" s="446"/>
      <c r="L21" s="337"/>
      <c r="M21" s="337"/>
    </row>
    <row r="22" spans="1:14" ht="15" customHeight="1" x14ac:dyDescent="0.25">
      <c r="A22" s="440" t="s">
        <v>301</v>
      </c>
      <c r="C22" s="39">
        <v>6014</v>
      </c>
      <c r="D22" s="441">
        <v>25.9</v>
      </c>
      <c r="E22" s="442">
        <v>4</v>
      </c>
      <c r="F22" s="31" t="str">
        <f>IFERROR(VLOOKUP($C22,[18]Nod!$A$3:$E$992,4,FALSE)," ")</f>
        <v>PRO230</v>
      </c>
      <c r="G22" s="31">
        <f>IFERROR(VLOOKUP($C22,[18]Nod!$A$3:$E$992,5,FALSE)," ")</f>
        <v>1</v>
      </c>
      <c r="H22" s="447">
        <v>2</v>
      </c>
      <c r="I22" s="438"/>
      <c r="J22" s="437"/>
      <c r="K22" s="439">
        <f>+K23</f>
        <v>0</v>
      </c>
      <c r="L22" s="337"/>
      <c r="M22" s="337"/>
    </row>
    <row r="23" spans="1:14" ht="15" customHeight="1" x14ac:dyDescent="0.25">
      <c r="A23" s="440" t="s">
        <v>302</v>
      </c>
      <c r="C23" s="39">
        <v>6014</v>
      </c>
      <c r="D23" s="441"/>
      <c r="E23" s="442"/>
      <c r="F23" s="31" t="str">
        <f>IFERROR(VLOOKUP($C23,[18]Nod!$A$3:$E$992,4,FALSE)," ")</f>
        <v>PRO230</v>
      </c>
      <c r="G23" s="31">
        <f>IFERROR(VLOOKUP($C23,[18]Nod!$A$3:$E$992,5,FALSE)," ")</f>
        <v>1</v>
      </c>
      <c r="H23" s="443" t="s">
        <v>37</v>
      </c>
      <c r="I23" s="444"/>
      <c r="J23" s="445"/>
      <c r="K23" s="446"/>
      <c r="L23" s="337"/>
      <c r="M23" s="337"/>
    </row>
    <row r="24" spans="1:14" ht="15" customHeight="1" x14ac:dyDescent="0.25">
      <c r="A24" s="440" t="s">
        <v>38</v>
      </c>
      <c r="C24" s="39">
        <v>6014</v>
      </c>
      <c r="D24" s="441">
        <v>10</v>
      </c>
      <c r="E24" s="442">
        <v>0</v>
      </c>
      <c r="F24" s="31" t="str">
        <f>IFERROR(VLOOKUP($C24,[18]Nod!$A$3:$E$992,4,FALSE)," ")</f>
        <v>PRO230</v>
      </c>
      <c r="G24" s="31">
        <f>IFERROR(VLOOKUP($C24,[18]Nod!$A$3:$E$992,5,FALSE)," ")</f>
        <v>1</v>
      </c>
      <c r="H24" s="437">
        <v>3</v>
      </c>
      <c r="I24" s="438"/>
      <c r="J24" s="437"/>
      <c r="K24" s="439">
        <f>+K26</f>
        <v>9.1459859130985102E-2</v>
      </c>
      <c r="L24" s="337"/>
      <c r="M24" s="337"/>
      <c r="N24" s="435"/>
    </row>
    <row r="25" spans="1:14" ht="15" customHeight="1" x14ac:dyDescent="0.25">
      <c r="A25" s="440" t="s">
        <v>303</v>
      </c>
      <c r="C25" s="39">
        <v>6014</v>
      </c>
      <c r="D25" s="441">
        <v>9.99</v>
      </c>
      <c r="E25" s="442">
        <v>0</v>
      </c>
      <c r="F25" s="31" t="str">
        <f>IFERROR(VLOOKUP($C25,[18]Nod!$A$3:$E$992,4,FALSE)," ")</f>
        <v>PRO230</v>
      </c>
      <c r="G25" s="31">
        <f>IFERROR(VLOOKUP($C25,[18]Nod!$A$3:$E$992,5,FALSE)," ")</f>
        <v>1</v>
      </c>
      <c r="H25" s="429" t="s">
        <v>31</v>
      </c>
      <c r="I25" s="79"/>
      <c r="J25" s="428"/>
      <c r="K25" s="90"/>
      <c r="L25" s="337"/>
      <c r="M25" s="337"/>
    </row>
    <row r="26" spans="1:14" ht="15" customHeight="1" x14ac:dyDescent="0.25">
      <c r="A26" s="440" t="s">
        <v>304</v>
      </c>
      <c r="C26" s="39">
        <v>6014</v>
      </c>
      <c r="D26" s="441">
        <v>5.5</v>
      </c>
      <c r="E26" s="442">
        <v>0</v>
      </c>
      <c r="F26" s="31" t="str">
        <f>IFERROR(VLOOKUP($C26,[18]Nod!$A$3:$E$992,4,FALSE)," ")</f>
        <v>PRO230</v>
      </c>
      <c r="G26" s="31">
        <f>IFERROR(VLOOKUP($C26,[18]Nod!$A$3:$E$992,5,FALSE)," ")</f>
        <v>1</v>
      </c>
      <c r="H26" s="95" t="s">
        <v>43</v>
      </c>
      <c r="I26" s="79"/>
      <c r="J26" s="428">
        <v>6087</v>
      </c>
      <c r="K26" s="75">
        <v>9.1459859130985102E-2</v>
      </c>
      <c r="L26" s="337" t="str">
        <f>VLOOKUP($J26,[18]Nod!$A$3:$E$991,4,FALSE)</f>
        <v>CAL115</v>
      </c>
      <c r="M26" s="337">
        <f>VLOOKUP($J26,[18]Nod!$A$3:$E$991,5,FALSE)</f>
        <v>3</v>
      </c>
    </row>
    <row r="27" spans="1:14" ht="15" customHeight="1" x14ac:dyDescent="0.25">
      <c r="A27" s="440" t="s">
        <v>305</v>
      </c>
      <c r="C27" s="39">
        <v>6014</v>
      </c>
      <c r="D27" s="441">
        <v>10</v>
      </c>
      <c r="E27" s="442">
        <v>0</v>
      </c>
      <c r="F27" s="31" t="str">
        <f>IFERROR(VLOOKUP($C27,[18]Nod!$A$3:$E$992,4,FALSE)," ")</f>
        <v>PRO230</v>
      </c>
      <c r="G27" s="31">
        <f>IFERROR(VLOOKUP($C27,[18]Nod!$A$3:$E$992,5,FALSE)," ")</f>
        <v>1</v>
      </c>
      <c r="H27" s="443" t="s">
        <v>37</v>
      </c>
      <c r="I27" s="444"/>
      <c r="J27" s="445"/>
      <c r="K27" s="446"/>
      <c r="L27" s="337"/>
      <c r="M27" s="337"/>
    </row>
    <row r="28" spans="1:14" ht="15" customHeight="1" x14ac:dyDescent="0.25">
      <c r="A28" s="440" t="s">
        <v>306</v>
      </c>
      <c r="C28" s="39">
        <v>6014</v>
      </c>
      <c r="D28" s="441">
        <v>10</v>
      </c>
      <c r="E28" s="442">
        <v>0</v>
      </c>
      <c r="F28" s="31" t="str">
        <f>IFERROR(VLOOKUP($C28,[18]Nod!$A$3:$E$992,4,FALSE)," ")</f>
        <v>PRO230</v>
      </c>
      <c r="G28" s="31">
        <f>IFERROR(VLOOKUP($C28,[18]Nod!$A$3:$E$992,5,FALSE)," ")</f>
        <v>1</v>
      </c>
      <c r="H28" s="437">
        <v>4</v>
      </c>
      <c r="I28" s="438"/>
      <c r="J28" s="437"/>
      <c r="K28" s="439">
        <f>+K30+K31+K32+K33</f>
        <v>123.57224114539488</v>
      </c>
      <c r="L28" s="337"/>
      <c r="M28" s="337"/>
      <c r="N28" s="435"/>
    </row>
    <row r="29" spans="1:14" ht="15" customHeight="1" x14ac:dyDescent="0.25">
      <c r="A29" s="448" t="s">
        <v>307</v>
      </c>
      <c r="C29" s="39">
        <v>6014</v>
      </c>
      <c r="D29" s="449">
        <v>19.88</v>
      </c>
      <c r="E29" s="442">
        <v>0</v>
      </c>
      <c r="F29" s="31" t="str">
        <f>IFERROR(VLOOKUP($C29,[18]Nod!$A$3:$E$992,4,FALSE)," ")</f>
        <v>PRO230</v>
      </c>
      <c r="G29" s="31">
        <f>IFERROR(VLOOKUP($C29,[18]Nod!$A$3:$E$992,5,FALSE)," ")</f>
        <v>1</v>
      </c>
      <c r="H29" s="429" t="s">
        <v>31</v>
      </c>
      <c r="I29" s="79"/>
      <c r="J29" s="428"/>
      <c r="K29" s="90"/>
      <c r="L29" s="337"/>
      <c r="M29" s="337"/>
    </row>
    <row r="30" spans="1:14" ht="15" customHeight="1" x14ac:dyDescent="0.25">
      <c r="A30" s="440" t="s">
        <v>308</v>
      </c>
      <c r="C30" s="39">
        <v>6014</v>
      </c>
      <c r="D30" s="41"/>
      <c r="E30" s="50"/>
      <c r="F30" s="31" t="str">
        <f>IFERROR(VLOOKUP($C30,[18]Nod!$A$3:$E$992,4,FALSE)," ")</f>
        <v>PRO230</v>
      </c>
      <c r="G30" s="31">
        <f>IFERROR(VLOOKUP($C30,[18]Nod!$A$3:$E$992,5,FALSE)," ")</f>
        <v>1</v>
      </c>
      <c r="H30" s="95" t="s">
        <v>204</v>
      </c>
      <c r="I30" s="79"/>
      <c r="J30" s="428">
        <v>6013</v>
      </c>
      <c r="K30" s="75">
        <v>17.780470900291437</v>
      </c>
      <c r="L30" s="337" t="str">
        <f>VLOOKUP($J30,[18]Nod!$A$3:$E$991,4,FALSE)</f>
        <v>MDN34</v>
      </c>
      <c r="M30" s="337">
        <f>VLOOKUP($J30,[18]Nod!$A$3:$E$991,5,FALSE)</f>
        <v>4</v>
      </c>
    </row>
    <row r="31" spans="1:14" ht="15" customHeight="1" x14ac:dyDescent="0.25">
      <c r="A31" s="440" t="s">
        <v>309</v>
      </c>
      <c r="C31" s="39">
        <v>6014</v>
      </c>
      <c r="D31" s="41"/>
      <c r="E31" s="50"/>
      <c r="F31" s="31" t="str">
        <f>IFERROR(VLOOKUP($C31,[18]Nod!$A$3:$E$992,4,FALSE)," ")</f>
        <v>PRO230</v>
      </c>
      <c r="G31" s="31">
        <f>IFERROR(VLOOKUP($C31,[18]Nod!$A$3:$E$992,5,FALSE)," ")</f>
        <v>1</v>
      </c>
      <c r="H31" s="95" t="s">
        <v>203</v>
      </c>
      <c r="I31" s="79"/>
      <c r="J31" s="428">
        <v>6013</v>
      </c>
      <c r="K31" s="75">
        <v>85.58</v>
      </c>
      <c r="L31" s="337" t="str">
        <f>VLOOKUP($J31,[18]Nod!$A$3:$E$991,4,FALSE)</f>
        <v>MDN34</v>
      </c>
      <c r="M31" s="337">
        <f>VLOOKUP($J31,[18]Nod!$A$3:$E$991,5,FALSE)</f>
        <v>4</v>
      </c>
    </row>
    <row r="32" spans="1:14" ht="15" customHeight="1" x14ac:dyDescent="0.25">
      <c r="A32" s="440" t="s">
        <v>310</v>
      </c>
      <c r="C32" s="39">
        <v>6014</v>
      </c>
      <c r="D32" s="41"/>
      <c r="E32" s="50"/>
      <c r="F32" s="31" t="str">
        <f>IFERROR(VLOOKUP($C32,[18]Nod!$A$3:$E$992,4,FALSE)," ")</f>
        <v>PRO230</v>
      </c>
      <c r="G32" s="31">
        <f>IFERROR(VLOOKUP($C32,[18]Nod!$A$3:$E$992,5,FALSE)," ")</f>
        <v>1</v>
      </c>
      <c r="H32" s="72" t="s">
        <v>205</v>
      </c>
      <c r="I32" s="79"/>
      <c r="J32" s="74">
        <v>6380</v>
      </c>
      <c r="K32" s="75">
        <v>14.715289042186841</v>
      </c>
      <c r="L32" s="337" t="str">
        <f>VLOOKUP($J32,[18]Nod!$A$3:$E$991,4,FALSE)</f>
        <v>BOQIII230</v>
      </c>
      <c r="M32" s="337">
        <f>VLOOKUP($J32,[18]Nod!$A$3:$E$991,5,FALSE)</f>
        <v>4</v>
      </c>
    </row>
    <row r="33" spans="1:14" ht="15" customHeight="1" x14ac:dyDescent="0.25">
      <c r="A33" s="440" t="s">
        <v>311</v>
      </c>
      <c r="C33" s="39">
        <v>6014</v>
      </c>
      <c r="D33" s="41"/>
      <c r="E33" s="50"/>
      <c r="F33" s="31" t="str">
        <f>IFERROR(VLOOKUP($C33,[18]Nod!$A$3:$E$992,4,FALSE)," ")</f>
        <v>PRO230</v>
      </c>
      <c r="G33" s="31">
        <f>IFERROR(VLOOKUP($C33,[18]Nod!$A$3:$E$992,5,FALSE)," ")</f>
        <v>1</v>
      </c>
      <c r="H33" s="72" t="s">
        <v>206</v>
      </c>
      <c r="I33" s="79"/>
      <c r="J33" s="74">
        <v>6182</v>
      </c>
      <c r="K33" s="75">
        <v>5.4964812029166152</v>
      </c>
      <c r="L33" s="337" t="str">
        <f>VLOOKUP($J33,[18]Nod!$A$3:$E$991,4,FALSE)</f>
        <v>VEL230</v>
      </c>
      <c r="M33" s="337">
        <f>VLOOKUP($J33,[18]Nod!$A$3:$E$991,5,FALSE)</f>
        <v>4</v>
      </c>
    </row>
    <row r="34" spans="1:14" ht="15" customHeight="1" x14ac:dyDescent="0.25">
      <c r="A34" s="450" t="s">
        <v>312</v>
      </c>
      <c r="C34" s="39"/>
      <c r="D34" s="41"/>
      <c r="E34" s="50"/>
      <c r="F34" s="31"/>
      <c r="G34" s="31" t="str">
        <f>IFERROR(VLOOKUP($C34,[18]Nod!$A$3:$E$992,5,FALSE)," ")</f>
        <v xml:space="preserve"> </v>
      </c>
      <c r="H34" s="443" t="s">
        <v>37</v>
      </c>
      <c r="I34" s="444"/>
      <c r="J34" s="445"/>
      <c r="K34" s="451"/>
      <c r="L34" s="337"/>
      <c r="M34" s="337"/>
    </row>
    <row r="35" spans="1:14" ht="15" customHeight="1" x14ac:dyDescent="0.25">
      <c r="A35" s="452" t="s">
        <v>313</v>
      </c>
      <c r="C35" s="39"/>
      <c r="D35" s="41"/>
      <c r="E35" s="50"/>
      <c r="F35" s="31"/>
      <c r="G35" s="31" t="str">
        <f>IFERROR(VLOOKUP($C35,[18]Nod!$A$3:$E$992,5,FALSE)," ")</f>
        <v xml:space="preserve"> </v>
      </c>
      <c r="H35" s="453">
        <v>5</v>
      </c>
      <c r="I35" s="454"/>
      <c r="J35" s="455"/>
      <c r="K35" s="456">
        <f>SUM(K36:K44)</f>
        <v>413.7669373519351</v>
      </c>
      <c r="L35" s="337"/>
      <c r="M35" s="337"/>
      <c r="N35" s="435"/>
    </row>
    <row r="36" spans="1:14" ht="15" customHeight="1" x14ac:dyDescent="0.25">
      <c r="A36" s="51" t="s">
        <v>37</v>
      </c>
      <c r="B36" s="3"/>
      <c r="C36" s="41"/>
      <c r="D36" s="41"/>
      <c r="E36" s="442"/>
      <c r="F36" s="31" t="str">
        <f>IFERROR(VLOOKUP($C36,[18]Nod!$A$3:$E$992,4,FALSE)," ")</f>
        <v xml:space="preserve"> </v>
      </c>
      <c r="G36" s="31" t="str">
        <f>IFERROR(VLOOKUP($C36,[18]Nod!$A$3:$E$992,5,FALSE)," ")</f>
        <v xml:space="preserve"> </v>
      </c>
      <c r="H36" s="429" t="s">
        <v>54</v>
      </c>
      <c r="I36" s="79"/>
      <c r="J36" s="428"/>
      <c r="K36" s="457"/>
      <c r="L36" s="337"/>
      <c r="M36" s="337"/>
    </row>
    <row r="37" spans="1:14" ht="15" customHeight="1" x14ac:dyDescent="0.25">
      <c r="A37" s="52">
        <v>2</v>
      </c>
      <c r="B37" s="45"/>
      <c r="C37" s="46"/>
      <c r="D37" s="47">
        <f>SUM(D38:D43)</f>
        <v>428.69</v>
      </c>
      <c r="E37" s="436"/>
      <c r="F37" s="31" t="str">
        <f>IFERROR(VLOOKUP($C37,[18]Nod!$A$3:$E$992,4,FALSE)," ")</f>
        <v xml:space="preserve"> </v>
      </c>
      <c r="G37" s="31" t="str">
        <f>IFERROR(VLOOKUP($C37,[18]Nod!$A$3:$E$992,5,FALSE)," ")</f>
        <v xml:space="preserve"> </v>
      </c>
      <c r="H37" s="458" t="s">
        <v>56</v>
      </c>
      <c r="I37" s="79"/>
      <c r="J37" s="428">
        <v>6009</v>
      </c>
      <c r="K37" s="75">
        <v>223.19</v>
      </c>
      <c r="L37" s="337" t="str">
        <f>VLOOKUP($J37,[18]Nod!$A$3:$E$991,4,FALSE)</f>
        <v>LSA115</v>
      </c>
      <c r="M37" s="337">
        <f>VLOOKUP($J37,[18]Nod!$A$3:$E$991,5,FALSE)</f>
        <v>5</v>
      </c>
    </row>
    <row r="38" spans="1:14" ht="15" customHeight="1" x14ac:dyDescent="0.25">
      <c r="A38" s="459" t="s">
        <v>58</v>
      </c>
      <c r="B38" s="3"/>
      <c r="C38" s="41">
        <v>6096</v>
      </c>
      <c r="D38" s="441">
        <v>300</v>
      </c>
      <c r="E38" s="442">
        <v>0</v>
      </c>
      <c r="F38" s="31" t="str">
        <f>IFERROR(VLOOKUP($C38,[18]Nod!$A$3:$E$992,4,FALSE)," ")</f>
        <v>FOR230</v>
      </c>
      <c r="G38" s="31">
        <f>IFERROR(VLOOKUP($C38,[18]Nod!$A$3:$E$992,5,FALSE)," ")</f>
        <v>2</v>
      </c>
      <c r="H38" s="458" t="s">
        <v>202</v>
      </c>
      <c r="I38" s="79"/>
      <c r="J38" s="428">
        <v>6460</v>
      </c>
      <c r="K38" s="75">
        <v>21.466898355325831</v>
      </c>
      <c r="L38" s="337" t="str">
        <f>VLOOKUP($J38,[18]Nod!$A$3:$E$991,4,FALSE)</f>
        <v>ECO230</v>
      </c>
      <c r="M38" s="337">
        <f>VLOOKUP($J38,[18]Nod!$A$3:$E$991,5,FALSE)</f>
        <v>5</v>
      </c>
    </row>
    <row r="39" spans="1:14" ht="15" customHeight="1" x14ac:dyDescent="0.25">
      <c r="A39" s="459" t="s">
        <v>314</v>
      </c>
      <c r="B39" s="3"/>
      <c r="C39" s="41">
        <v>6179</v>
      </c>
      <c r="D39" s="441"/>
      <c r="E39" s="442">
        <v>0</v>
      </c>
      <c r="F39" s="31" t="str">
        <f>IFERROR(VLOOKUP($C39,[18]Nod!$A$3:$E$992,4,FALSE)," ")</f>
        <v>GUA230</v>
      </c>
      <c r="G39" s="31">
        <f>IFERROR(VLOOKUP($C39,[18]Nod!$A$3:$E$992,5,FALSE)," ")</f>
        <v>2</v>
      </c>
      <c r="H39" s="429" t="s">
        <v>57</v>
      </c>
      <c r="I39" s="79"/>
      <c r="J39" s="428"/>
      <c r="K39" s="90"/>
      <c r="L39" s="337"/>
      <c r="M39" s="337"/>
    </row>
    <row r="40" spans="1:14" ht="15" customHeight="1" x14ac:dyDescent="0.25">
      <c r="A40" s="459" t="s">
        <v>62</v>
      </c>
      <c r="B40" s="3"/>
      <c r="C40" s="41">
        <v>6179</v>
      </c>
      <c r="D40" s="441">
        <v>25.34</v>
      </c>
      <c r="E40" s="442">
        <v>0</v>
      </c>
      <c r="F40" s="31" t="str">
        <f>IFERROR(VLOOKUP($C40,[18]Nod!$A$3:$E$992,4,FALSE)," ")</f>
        <v>GUA230</v>
      </c>
      <c r="G40" s="31">
        <f>IFERROR(VLOOKUP($C40,[18]Nod!$A$3:$E$992,5,FALSE)," ")</f>
        <v>2</v>
      </c>
      <c r="H40" s="95" t="s">
        <v>59</v>
      </c>
      <c r="I40" s="79"/>
      <c r="J40" s="428">
        <v>6009</v>
      </c>
      <c r="K40" s="75">
        <v>0.84</v>
      </c>
      <c r="L40" s="337" t="str">
        <f>VLOOKUP($J40,[18]Nod!$A$3:$E$991,4,FALSE)</f>
        <v>LSA115</v>
      </c>
      <c r="M40" s="337">
        <f>VLOOKUP($J40,[18]Nod!$A$3:$E$991,5,FALSE)</f>
        <v>5</v>
      </c>
    </row>
    <row r="41" spans="1:14" ht="15" customHeight="1" x14ac:dyDescent="0.25">
      <c r="A41" s="459" t="s">
        <v>64</v>
      </c>
      <c r="B41" s="3"/>
      <c r="C41" s="41">
        <v>6179</v>
      </c>
      <c r="D41" s="441">
        <v>35</v>
      </c>
      <c r="E41" s="442">
        <v>0</v>
      </c>
      <c r="F41" s="31" t="str">
        <f>IFERROR(VLOOKUP($C41,[18]Nod!$A$3:$E$992,4,FALSE)," ")</f>
        <v>GUA230</v>
      </c>
      <c r="G41" s="31">
        <f>IFERROR(VLOOKUP($C41,[18]Nod!$A$3:$E$992,5,FALSE)," ")</f>
        <v>2</v>
      </c>
      <c r="H41" s="95" t="s">
        <v>315</v>
      </c>
      <c r="I41" s="79"/>
      <c r="J41" s="428">
        <v>6009</v>
      </c>
      <c r="K41" s="75">
        <v>0.84253899660921205</v>
      </c>
      <c r="L41" s="337" t="str">
        <f>VLOOKUP($J41,[18]Nod!$A$3:$E$991,4,FALSE)</f>
        <v>LSA115</v>
      </c>
      <c r="M41" s="337">
        <f>VLOOKUP($J41,[18]Nod!$A$3:$E$991,5,FALSE)</f>
        <v>5</v>
      </c>
    </row>
    <row r="42" spans="1:14" ht="15" customHeight="1" x14ac:dyDescent="0.25">
      <c r="A42" s="459" t="s">
        <v>66</v>
      </c>
      <c r="B42" s="3"/>
      <c r="C42" s="41">
        <v>6179</v>
      </c>
      <c r="D42" s="441">
        <v>58.66</v>
      </c>
      <c r="E42" s="442">
        <v>0</v>
      </c>
      <c r="F42" s="31" t="str">
        <f>IFERROR(VLOOKUP($C42,[18]Nod!$A$3:$E$992,4,FALSE)," ")</f>
        <v>GUA230</v>
      </c>
      <c r="G42" s="31">
        <f>IFERROR(VLOOKUP($C42,[18]Nod!$A$3:$E$992,5,FALSE)," ")</f>
        <v>2</v>
      </c>
      <c r="H42" s="460" t="s">
        <v>316</v>
      </c>
      <c r="I42" s="79"/>
      <c r="J42" s="428"/>
      <c r="K42" s="90"/>
      <c r="L42" s="337"/>
      <c r="M42" s="337"/>
    </row>
    <row r="43" spans="1:14" ht="15" customHeight="1" x14ac:dyDescent="0.25">
      <c r="A43" s="459" t="s">
        <v>317</v>
      </c>
      <c r="B43" s="3"/>
      <c r="C43" s="41">
        <v>6179</v>
      </c>
      <c r="D43" s="441">
        <v>9.69</v>
      </c>
      <c r="E43" s="442">
        <v>7</v>
      </c>
      <c r="F43" s="31" t="str">
        <f>IFERROR(VLOOKUP($C43,[18]Nod!$A$3:$E$992,4,FALSE)," ")</f>
        <v>GUA230</v>
      </c>
      <c r="G43" s="31">
        <f>IFERROR(VLOOKUP($C43,[18]Nod!$A$3:$E$992,5,FALSE)," ")</f>
        <v>2</v>
      </c>
      <c r="H43" s="95" t="s">
        <v>67</v>
      </c>
      <c r="I43" s="79"/>
      <c r="J43" s="428">
        <v>6008</v>
      </c>
      <c r="K43" s="494">
        <v>167.42750000000001</v>
      </c>
      <c r="L43" s="337" t="str">
        <f>VLOOKUP($J43,[18]Nod!$A$3:$E$991,4,FALSE)</f>
        <v>LSA230</v>
      </c>
      <c r="M43" s="337">
        <f>VLOOKUP($J43,[18]Nod!$A$3:$E$991,5,FALSE)</f>
        <v>5</v>
      </c>
    </row>
    <row r="44" spans="1:14" ht="15" customHeight="1" x14ac:dyDescent="0.25">
      <c r="A44" s="55" t="s">
        <v>37</v>
      </c>
      <c r="B44" s="43"/>
      <c r="C44" s="44"/>
      <c r="D44" s="44"/>
      <c r="E44" s="461"/>
      <c r="F44" s="31" t="str">
        <f>IFERROR(VLOOKUP($C44,[18]Nod!$A$3:$E$992,4,FALSE)," ")</f>
        <v xml:space="preserve"> </v>
      </c>
      <c r="G44" s="31" t="str">
        <f>IFERROR(VLOOKUP($C44,[18]Nod!$A$3:$E$992,5,FALSE)," ")</f>
        <v xml:space="preserve"> </v>
      </c>
      <c r="H44" s="462" t="s">
        <v>37</v>
      </c>
      <c r="I44" s="79"/>
      <c r="J44" s="428"/>
      <c r="K44" s="90"/>
      <c r="L44" s="337"/>
      <c r="M44" s="337"/>
    </row>
    <row r="45" spans="1:14" ht="15" customHeight="1" x14ac:dyDescent="0.25">
      <c r="A45" s="33">
        <v>3</v>
      </c>
      <c r="B45" s="34"/>
      <c r="C45" s="35"/>
      <c r="D45" s="76">
        <f>SUM(D46:D51)</f>
        <v>152.99</v>
      </c>
      <c r="E45" s="463"/>
      <c r="F45" s="31" t="str">
        <f>IFERROR(VLOOKUP($C45,[18]Nod!$A$3:$E$992,4,FALSE)," ")</f>
        <v xml:space="preserve"> </v>
      </c>
      <c r="G45" s="31" t="str">
        <f>IFERROR(VLOOKUP($C45,[18]Nod!$A$3:$E$992,5,FALSE)," ")</f>
        <v xml:space="preserve"> </v>
      </c>
      <c r="H45" s="447">
        <v>6</v>
      </c>
      <c r="I45" s="438"/>
      <c r="J45" s="437"/>
      <c r="K45" s="439">
        <f>SUM(K46:K51)</f>
        <v>180.24893333333333</v>
      </c>
      <c r="L45" s="337"/>
      <c r="M45" s="337"/>
    </row>
    <row r="46" spans="1:14" ht="15" customHeight="1" x14ac:dyDescent="0.25">
      <c r="A46" s="440" t="s">
        <v>69</v>
      </c>
      <c r="B46" s="3"/>
      <c r="C46" s="41">
        <v>6087</v>
      </c>
      <c r="D46" s="441">
        <v>47.2</v>
      </c>
      <c r="E46" s="442">
        <v>0</v>
      </c>
      <c r="F46" s="31" t="str">
        <f>IFERROR(VLOOKUP($C46,[18]Nod!$A$3:$E$992,4,FALSE)," ")</f>
        <v>CAL115</v>
      </c>
      <c r="G46" s="31">
        <f>IFERROR(VLOOKUP($C46,[18]Nod!$A$3:$E$992,5,FALSE)," ")</f>
        <v>3</v>
      </c>
      <c r="H46" s="429" t="s">
        <v>54</v>
      </c>
      <c r="I46" s="79"/>
      <c r="J46" s="428"/>
      <c r="K46" s="90"/>
      <c r="L46" s="337"/>
      <c r="M46" s="337"/>
      <c r="N46" s="435"/>
    </row>
    <row r="47" spans="1:14" ht="15" customHeight="1" x14ac:dyDescent="0.25">
      <c r="A47" s="440" t="s">
        <v>71</v>
      </c>
      <c r="B47" s="3"/>
      <c r="C47" s="41">
        <v>6087</v>
      </c>
      <c r="D47" s="441">
        <v>54.76</v>
      </c>
      <c r="E47" s="442">
        <v>0</v>
      </c>
      <c r="F47" s="31" t="str">
        <f>IFERROR(VLOOKUP($C47,[18]Nod!$A$3:$E$992,4,FALSE)," ")</f>
        <v>CAL115</v>
      </c>
      <c r="G47" s="31">
        <f>IFERROR(VLOOKUP($C47,[18]Nod!$A$3:$E$992,5,FALSE)," ")</f>
        <v>3</v>
      </c>
      <c r="H47" s="95" t="s">
        <v>70</v>
      </c>
      <c r="I47" s="79"/>
      <c r="J47" s="428">
        <v>6005</v>
      </c>
      <c r="K47" s="75">
        <v>177.85</v>
      </c>
      <c r="L47" s="337" t="str">
        <f>VLOOKUP($J47,[18]Nod!$A$3:$E$991,4,FALSE)</f>
        <v>CHO230</v>
      </c>
      <c r="M47" s="337">
        <f>VLOOKUP($J47,[18]Nod!$A$3:$E$991,5,FALSE)</f>
        <v>6</v>
      </c>
    </row>
    <row r="48" spans="1:14" ht="15" customHeight="1" x14ac:dyDescent="0.25">
      <c r="A48" s="440" t="s">
        <v>72</v>
      </c>
      <c r="B48" s="3"/>
      <c r="C48" s="41">
        <v>6087</v>
      </c>
      <c r="D48" s="441">
        <v>18</v>
      </c>
      <c r="E48" s="442">
        <v>0</v>
      </c>
      <c r="F48" s="31" t="str">
        <f>IFERROR(VLOOKUP($C48,[18]Nod!$A$3:$E$992,4,FALSE)," ")</f>
        <v>CAL115</v>
      </c>
      <c r="G48" s="31">
        <f>IFERROR(VLOOKUP($C48,[18]Nod!$A$3:$E$992,5,FALSE)," ")</f>
        <v>3</v>
      </c>
      <c r="H48" s="429" t="s">
        <v>57</v>
      </c>
      <c r="I48" s="79"/>
      <c r="J48" s="428"/>
      <c r="K48" s="90"/>
      <c r="L48" s="337"/>
      <c r="M48" s="337"/>
    </row>
    <row r="49" spans="1:15" ht="15" customHeight="1" x14ac:dyDescent="0.25">
      <c r="A49" s="448" t="s">
        <v>73</v>
      </c>
      <c r="B49" s="3"/>
      <c r="C49" s="41">
        <v>6087</v>
      </c>
      <c r="D49" s="449">
        <v>15.5</v>
      </c>
      <c r="E49" s="442">
        <v>0</v>
      </c>
      <c r="F49" s="31" t="str">
        <f>IFERROR(VLOOKUP($C49,[18]Nod!$A$3:$E$992,4,FALSE)," ")</f>
        <v>CAL115</v>
      </c>
      <c r="G49" s="31">
        <f>IFERROR(VLOOKUP($C49,[18]Nod!$A$3:$E$992,5,FALSE)," ")</f>
        <v>3</v>
      </c>
      <c r="H49" s="95" t="s">
        <v>59</v>
      </c>
      <c r="I49" s="79"/>
      <c r="J49" s="428">
        <v>6005</v>
      </c>
      <c r="K49" s="75">
        <v>0.29893333333333338</v>
      </c>
      <c r="L49" s="337" t="str">
        <f>VLOOKUP($J49,[18]Nod!$A$3:$E$991,4,FALSE)</f>
        <v>CHO230</v>
      </c>
      <c r="M49" s="337">
        <f>VLOOKUP($J49,[18]Nod!$A$3:$E$991,5,FALSE)</f>
        <v>6</v>
      </c>
    </row>
    <row r="50" spans="1:15" ht="15" customHeight="1" x14ac:dyDescent="0.25">
      <c r="A50" s="440" t="s">
        <v>75</v>
      </c>
      <c r="B50" s="3"/>
      <c r="C50" s="41">
        <v>6087</v>
      </c>
      <c r="D50" s="441">
        <v>7.8</v>
      </c>
      <c r="E50" s="442">
        <v>0</v>
      </c>
      <c r="F50" s="31" t="str">
        <f>IFERROR(VLOOKUP($C50,[18]Nod!$A$3:$E$992,4,FALSE)," ")</f>
        <v>CAL115</v>
      </c>
      <c r="G50" s="31">
        <f>IFERROR(VLOOKUP($C50,[18]Nod!$A$3:$E$992,5,FALSE)," ")</f>
        <v>3</v>
      </c>
      <c r="H50" s="95" t="s">
        <v>74</v>
      </c>
      <c r="I50" s="79"/>
      <c r="J50" s="428">
        <v>6005</v>
      </c>
      <c r="K50" s="75">
        <v>2.1</v>
      </c>
      <c r="L50" s="337" t="str">
        <f>VLOOKUP($J50,[18]Nod!$A$3:$E$991,4,FALSE)</f>
        <v>CHO230</v>
      </c>
      <c r="M50" s="337">
        <f>VLOOKUP($J50,[18]Nod!$A$3:$E$991,5,FALSE)</f>
        <v>6</v>
      </c>
    </row>
    <row r="51" spans="1:15" ht="15" customHeight="1" x14ac:dyDescent="0.25">
      <c r="A51" s="440" t="s">
        <v>76</v>
      </c>
      <c r="B51" s="3"/>
      <c r="C51" s="41">
        <v>6087</v>
      </c>
      <c r="D51" s="441">
        <v>9.73</v>
      </c>
      <c r="E51" s="442">
        <v>0</v>
      </c>
      <c r="F51" s="31" t="str">
        <f>IFERROR(VLOOKUP($C51,[18]Nod!$A$3:$E$992,4,FALSE)," ")</f>
        <v>CAL115</v>
      </c>
      <c r="G51" s="31">
        <f>IFERROR(VLOOKUP($C51,[18]Nod!$A$3:$E$992,5,FALSE)," ")</f>
        <v>3</v>
      </c>
      <c r="H51" s="443" t="s">
        <v>37</v>
      </c>
      <c r="I51" s="444"/>
      <c r="J51" s="445"/>
      <c r="K51" s="446"/>
      <c r="L51" s="337"/>
      <c r="M51" s="337"/>
    </row>
    <row r="52" spans="1:15" ht="15" customHeight="1" x14ac:dyDescent="0.25">
      <c r="A52" s="51" t="s">
        <v>37</v>
      </c>
      <c r="B52" s="3"/>
      <c r="C52" s="41"/>
      <c r="D52" s="41"/>
      <c r="E52" s="442"/>
      <c r="F52" s="31" t="str">
        <f>IFERROR(VLOOKUP($C52,[18]Nod!$A$3:$E$992,4,FALSE)," ")</f>
        <v xml:space="preserve"> </v>
      </c>
      <c r="G52" s="31" t="str">
        <f>IFERROR(VLOOKUP($C52,[18]Nod!$A$3:$E$992,5,FALSE)," ")</f>
        <v xml:space="preserve"> </v>
      </c>
      <c r="H52" s="447">
        <v>7</v>
      </c>
      <c r="I52" s="438"/>
      <c r="J52" s="437"/>
      <c r="K52" s="439">
        <f>SUM(K53:K70)</f>
        <v>1123.6969575106157</v>
      </c>
      <c r="L52" s="337"/>
      <c r="M52" s="337"/>
    </row>
    <row r="53" spans="1:15" ht="15" customHeight="1" x14ac:dyDescent="0.25">
      <c r="A53" s="49">
        <v>4</v>
      </c>
      <c r="B53" s="45"/>
      <c r="C53" s="46"/>
      <c r="D53" s="47">
        <f>SUM(D54:D92)</f>
        <v>408.96000000000004</v>
      </c>
      <c r="E53" s="436"/>
      <c r="F53" s="31" t="str">
        <f>IFERROR(VLOOKUP($C53,[18]Nod!$A$3:$E$992,4,FALSE)," ")</f>
        <v xml:space="preserve"> </v>
      </c>
      <c r="G53" s="31" t="str">
        <f>IFERROR(VLOOKUP($C53,[18]Nod!$A$3:$E$992,5,FALSE)," ")</f>
        <v xml:space="preserve"> </v>
      </c>
      <c r="H53" s="429" t="s">
        <v>77</v>
      </c>
      <c r="I53" s="79"/>
      <c r="J53" s="428"/>
      <c r="K53" s="90"/>
      <c r="L53" s="337"/>
      <c r="M53" s="337"/>
      <c r="N53" s="464"/>
    </row>
    <row r="54" spans="1:15" ht="15" customHeight="1" x14ac:dyDescent="0.25">
      <c r="A54" s="440" t="s">
        <v>98</v>
      </c>
      <c r="B54" s="3"/>
      <c r="C54" s="41">
        <v>6380</v>
      </c>
      <c r="D54" s="441">
        <v>51.65</v>
      </c>
      <c r="E54" s="442">
        <v>0</v>
      </c>
      <c r="F54" s="31" t="str">
        <f>IFERROR(VLOOKUP($C54,[18]Nod!$A$3:$E$992,4,FALSE)," ")</f>
        <v>BOQIII230</v>
      </c>
      <c r="G54" s="31">
        <f>IFERROR(VLOOKUP($C54,[18]Nod!$A$3:$E$992,5,FALSE)," ")</f>
        <v>4</v>
      </c>
      <c r="H54" s="95" t="s">
        <v>78</v>
      </c>
      <c r="I54" s="79"/>
      <c r="J54" s="428">
        <v>6002</v>
      </c>
      <c r="K54" s="75">
        <v>223.23</v>
      </c>
      <c r="L54" s="337" t="str">
        <f>VLOOKUP($J54,[18]Nod!$A$3:$E$991,4,FALSE)</f>
        <v>PAN115</v>
      </c>
      <c r="M54" s="337">
        <f>VLOOKUP($J54,[18]Nod!$A$3:$E$991,5,FALSE)</f>
        <v>7</v>
      </c>
    </row>
    <row r="55" spans="1:15" ht="15" customHeight="1" x14ac:dyDescent="0.25">
      <c r="A55" s="440" t="s">
        <v>100</v>
      </c>
      <c r="B55" s="3"/>
      <c r="C55" s="41">
        <v>6380</v>
      </c>
      <c r="D55" s="441">
        <v>32.6</v>
      </c>
      <c r="E55" s="442">
        <v>0</v>
      </c>
      <c r="F55" s="31" t="str">
        <f>IFERROR(VLOOKUP($C55,[18]Nod!$A$3:$E$992,4,FALSE)," ")</f>
        <v>BOQIII230</v>
      </c>
      <c r="G55" s="31">
        <f>IFERROR(VLOOKUP($C55,[18]Nod!$A$3:$E$992,5,FALSE)," ")</f>
        <v>4</v>
      </c>
      <c r="H55" s="95" t="s">
        <v>80</v>
      </c>
      <c r="I55" s="79"/>
      <c r="J55" s="428">
        <v>6004</v>
      </c>
      <c r="K55" s="75">
        <v>310.87</v>
      </c>
      <c r="L55" s="337" t="str">
        <f>VLOOKUP($J55,[18]Nod!$A$3:$E$991,4,FALSE)</f>
        <v>PANII115</v>
      </c>
      <c r="M55" s="337">
        <f>VLOOKUP($J55,[18]Nod!$A$3:$E$991,5,FALSE)</f>
        <v>7</v>
      </c>
    </row>
    <row r="56" spans="1:15" ht="15" customHeight="1" x14ac:dyDescent="0.25">
      <c r="A56" s="440" t="s">
        <v>104</v>
      </c>
      <c r="B56" s="3"/>
      <c r="C56" s="41">
        <v>6013</v>
      </c>
      <c r="D56" s="441">
        <v>72.2</v>
      </c>
      <c r="E56" s="442">
        <v>0</v>
      </c>
      <c r="F56" s="31" t="str">
        <f>IFERROR(VLOOKUP($C56,[18]Nod!$A$3:$E$992,4,FALSE)," ")</f>
        <v>MDN34</v>
      </c>
      <c r="G56" s="31">
        <f>IFERROR(VLOOKUP($C56,[18]Nod!$A$3:$E$992,5,FALSE)," ")</f>
        <v>4</v>
      </c>
      <c r="H56" s="95" t="s">
        <v>82</v>
      </c>
      <c r="I56" s="79"/>
      <c r="J56" s="428">
        <v>6470</v>
      </c>
      <c r="K56" s="75">
        <v>46.531600000000005</v>
      </c>
      <c r="L56" s="337" t="str">
        <f>VLOOKUP($J56,[18]Nod!$A$3:$E$991,4,FALSE)</f>
        <v>24DIC230</v>
      </c>
      <c r="M56" s="337">
        <f>VLOOKUP($J56,[18]Nod!$A$3:$E$991,5,FALSE)</f>
        <v>7</v>
      </c>
    </row>
    <row r="57" spans="1:15" ht="15" customHeight="1" x14ac:dyDescent="0.25">
      <c r="A57" s="440" t="s">
        <v>110</v>
      </c>
      <c r="B57" s="3"/>
      <c r="C57" s="41">
        <v>6013</v>
      </c>
      <c r="D57" s="441">
        <v>28.84</v>
      </c>
      <c r="E57" s="442">
        <v>0</v>
      </c>
      <c r="F57" s="31" t="str">
        <f>IFERROR(VLOOKUP($C57,[18]Nod!$A$3:$E$992,4,FALSE)," ")</f>
        <v>MDN34</v>
      </c>
      <c r="G57" s="31">
        <f>IFERROR(VLOOKUP($C57,[18]Nod!$A$3:$E$992,5,FALSE)," ")</f>
        <v>4</v>
      </c>
      <c r="H57" s="429" t="s">
        <v>296</v>
      </c>
      <c r="I57" s="79"/>
      <c r="J57" s="428"/>
      <c r="K57" s="90"/>
      <c r="L57" s="337"/>
      <c r="M57" s="337"/>
    </row>
    <row r="58" spans="1:15" ht="15" customHeight="1" x14ac:dyDescent="0.25">
      <c r="A58" s="489" t="s">
        <v>318</v>
      </c>
      <c r="B58" s="3"/>
      <c r="C58" s="41">
        <v>6380</v>
      </c>
      <c r="D58" s="488"/>
      <c r="E58" s="442">
        <v>0</v>
      </c>
      <c r="F58" s="31" t="str">
        <f>IFERROR(VLOOKUP($C58,[18]Nod!$A$3:$E$992,4,FALSE)," ")</f>
        <v>BOQIII230</v>
      </c>
      <c r="G58" s="31">
        <f>IFERROR(VLOOKUP($C58,[18]Nod!$A$3:$E$992,5,FALSE)," ")</f>
        <v>4</v>
      </c>
      <c r="H58" s="95" t="s">
        <v>88</v>
      </c>
      <c r="I58" s="79"/>
      <c r="J58" s="428">
        <v>6024</v>
      </c>
      <c r="K58" s="75">
        <v>21.783927943441903</v>
      </c>
      <c r="L58" s="337" t="str">
        <f>VLOOKUP($J58,[18]Nod!$A$3:$E$991,4,FALSE)</f>
        <v>CHI115</v>
      </c>
      <c r="M58" s="337">
        <f>VLOOKUP($J58,[18]Nod!$A$3:$E$991,5,FALSE)</f>
        <v>7</v>
      </c>
    </row>
    <row r="59" spans="1:15" ht="15" customHeight="1" x14ac:dyDescent="0.25">
      <c r="A59" s="440" t="s">
        <v>319</v>
      </c>
      <c r="B59" s="3"/>
      <c r="C59" s="41">
        <v>6380</v>
      </c>
      <c r="D59" s="441"/>
      <c r="E59" s="442">
        <v>0</v>
      </c>
      <c r="F59" s="31" t="str">
        <f>IFERROR(VLOOKUP($C59,[18]Nod!$A$3:$E$992,4,FALSE)," ")</f>
        <v>BOQIII230</v>
      </c>
      <c r="G59" s="31">
        <f>IFERROR(VLOOKUP($C59,[18]Nod!$A$3:$E$992,5,FALSE)," ")</f>
        <v>4</v>
      </c>
      <c r="H59" s="95" t="s">
        <v>95</v>
      </c>
      <c r="I59" s="79"/>
      <c r="J59" s="428">
        <v>6002</v>
      </c>
      <c r="K59" s="75">
        <v>0.14399999999999999</v>
      </c>
      <c r="L59" s="337" t="str">
        <f>VLOOKUP($J59,[18]Nod!$A$3:$E$991,4,FALSE)</f>
        <v>PAN115</v>
      </c>
      <c r="M59" s="337">
        <f>VLOOKUP($J59,[18]Nod!$A$3:$E$991,5,FALSE)</f>
        <v>7</v>
      </c>
    </row>
    <row r="60" spans="1:15" ht="15" customHeight="1" x14ac:dyDescent="0.25">
      <c r="A60" s="440" t="s">
        <v>79</v>
      </c>
      <c r="B60" s="3"/>
      <c r="C60" s="41">
        <v>6380</v>
      </c>
      <c r="D60" s="441">
        <v>10</v>
      </c>
      <c r="E60" s="442">
        <v>0</v>
      </c>
      <c r="F60" s="31" t="str">
        <f>IFERROR(VLOOKUP($C60,[18]Nod!$A$3:$E$992,4,FALSE)," ")</f>
        <v>BOQIII230</v>
      </c>
      <c r="G60" s="31">
        <f>IFERROR(VLOOKUP($C60,[18]Nod!$A$3:$E$992,5,FALSE)," ")</f>
        <v>4</v>
      </c>
      <c r="H60" s="95" t="s">
        <v>101</v>
      </c>
      <c r="I60" s="79"/>
      <c r="J60" s="428">
        <v>6004</v>
      </c>
      <c r="K60" s="75">
        <v>0.27900000000000003</v>
      </c>
      <c r="L60" s="337" t="str">
        <f>VLOOKUP($J60,[18]Nod!$A$3:$E$991,4,FALSE)</f>
        <v>PANII115</v>
      </c>
      <c r="M60" s="337">
        <f>VLOOKUP($J60,[18]Nod!$A$3:$E$991,5,FALSE)</f>
        <v>7</v>
      </c>
    </row>
    <row r="61" spans="1:15" ht="15" customHeight="1" x14ac:dyDescent="0.25">
      <c r="A61" s="440" t="s">
        <v>81</v>
      </c>
      <c r="B61" s="3"/>
      <c r="C61" s="56">
        <v>6013</v>
      </c>
      <c r="D61" s="465">
        <v>5.8</v>
      </c>
      <c r="E61" s="442">
        <v>0</v>
      </c>
      <c r="F61" s="31" t="str">
        <f>IFERROR(VLOOKUP($C61,[18]Nod!$A$3:$E$992,4,FALSE)," ")</f>
        <v>MDN34</v>
      </c>
      <c r="G61" s="31">
        <f>IFERROR(VLOOKUP($C61,[18]Nod!$A$3:$E$992,5,FALSE)," ")</f>
        <v>4</v>
      </c>
      <c r="H61" s="95" t="s">
        <v>59</v>
      </c>
      <c r="I61" s="79"/>
      <c r="J61" s="428">
        <v>6002</v>
      </c>
      <c r="K61" s="75">
        <v>1.7200577252627105</v>
      </c>
      <c r="L61" s="337" t="str">
        <f>VLOOKUP($J61,[18]Nod!$A$3:$E$991,4,FALSE)</f>
        <v>PAN115</v>
      </c>
      <c r="M61" s="337">
        <f>VLOOKUP($J61,[18]Nod!$A$3:$E$991,5,FALSE)</f>
        <v>7</v>
      </c>
    </row>
    <row r="62" spans="1:15" ht="15" customHeight="1" x14ac:dyDescent="0.25">
      <c r="A62" s="440" t="s">
        <v>83</v>
      </c>
      <c r="B62" s="3"/>
      <c r="C62" s="56">
        <v>6013</v>
      </c>
      <c r="D62" s="441">
        <v>6</v>
      </c>
      <c r="E62" s="442">
        <v>0</v>
      </c>
      <c r="F62" s="31" t="str">
        <f>IFERROR(VLOOKUP($C62,[18]Nod!$A$3:$E$992,4,FALSE)," ")</f>
        <v>MDN34</v>
      </c>
      <c r="G62" s="31">
        <f>IFERROR(VLOOKUP($C62,[18]Nod!$A$3:$E$992,5,FALSE)," ")</f>
        <v>4</v>
      </c>
      <c r="H62" s="429" t="s">
        <v>54</v>
      </c>
      <c r="I62" s="79"/>
      <c r="J62" s="428"/>
      <c r="K62" s="90"/>
      <c r="L62" s="337"/>
      <c r="M62" s="337"/>
      <c r="N62" s="3" t="s">
        <v>207</v>
      </c>
      <c r="O62" s="70" t="s">
        <v>199</v>
      </c>
    </row>
    <row r="63" spans="1:15" ht="15" customHeight="1" x14ac:dyDescent="0.25">
      <c r="A63" s="448" t="s">
        <v>299</v>
      </c>
      <c r="B63" s="3"/>
      <c r="C63" s="41">
        <v>6380</v>
      </c>
      <c r="D63" s="449">
        <v>20</v>
      </c>
      <c r="E63" s="442">
        <v>0</v>
      </c>
      <c r="F63" s="31" t="str">
        <f>IFERROR(VLOOKUP($C63,[18]Nod!$A$3:$E$992,4,FALSE)," ")</f>
        <v>BOQIII230</v>
      </c>
      <c r="G63" s="31">
        <f>IFERROR(VLOOKUP($C63,[18]Nod!$A$3:$E$992,5,FALSE)," ")</f>
        <v>4</v>
      </c>
      <c r="H63" s="95" t="s">
        <v>78</v>
      </c>
      <c r="I63" s="79"/>
      <c r="J63" s="428">
        <v>6002</v>
      </c>
      <c r="K63" s="426">
        <v>513.97</v>
      </c>
      <c r="L63" s="337" t="str">
        <f>VLOOKUP($J63,[18]Nod!$A$3:$E$991,4,FALSE)</f>
        <v>PAN115</v>
      </c>
      <c r="M63" s="337">
        <f>VLOOKUP($J63,[18]Nod!$A$3:$E$991,5,FALSE)</f>
        <v>7</v>
      </c>
      <c r="N63" s="73" t="s">
        <v>54</v>
      </c>
      <c r="O63" s="71">
        <v>1.7638351753540986</v>
      </c>
    </row>
    <row r="64" spans="1:15" ht="15" customHeight="1" x14ac:dyDescent="0.25">
      <c r="A64" s="448" t="s">
        <v>298</v>
      </c>
      <c r="B64" s="3"/>
      <c r="C64" s="41">
        <v>6380</v>
      </c>
      <c r="D64" s="449">
        <v>12.52</v>
      </c>
      <c r="E64" s="442">
        <v>0</v>
      </c>
      <c r="F64" s="31" t="str">
        <f>IFERROR(VLOOKUP($C64,[18]Nod!$A$3:$E$992,4,FALSE)," ")</f>
        <v>BOQIII230</v>
      </c>
      <c r="G64" s="31">
        <f>IFERROR(VLOOKUP($C64,[18]Nod!$A$3:$E$992,5,FALSE)," ")</f>
        <v>4</v>
      </c>
      <c r="H64" s="429" t="s">
        <v>297</v>
      </c>
      <c r="I64" s="79"/>
      <c r="J64" s="428"/>
      <c r="K64" s="90"/>
      <c r="L64" s="337"/>
      <c r="M64" s="337"/>
      <c r="N64" s="73" t="s">
        <v>77</v>
      </c>
      <c r="O64" s="71">
        <v>1.9735053559149436</v>
      </c>
    </row>
    <row r="65" spans="1:15" ht="15" customHeight="1" x14ac:dyDescent="0.25">
      <c r="A65" s="448" t="s">
        <v>87</v>
      </c>
      <c r="B65" s="3"/>
      <c r="C65" s="41">
        <v>6013</v>
      </c>
      <c r="D65" s="449">
        <v>14</v>
      </c>
      <c r="E65" s="442">
        <v>0</v>
      </c>
      <c r="F65" s="31" t="str">
        <f>IFERROR(VLOOKUP($C65,[18]Nod!$A$3:$E$992,4,FALSE)," ")</f>
        <v>MDN34</v>
      </c>
      <c r="G65" s="31">
        <f>IFERROR(VLOOKUP($C65,[18]Nod!$A$3:$E$992,5,FALSE)," ")</f>
        <v>4</v>
      </c>
      <c r="H65" s="95" t="s">
        <v>97</v>
      </c>
      <c r="I65" s="79"/>
      <c r="J65" s="428">
        <v>6002</v>
      </c>
      <c r="K65" s="75">
        <v>1.2766758691721838</v>
      </c>
      <c r="L65" s="337" t="str">
        <f>VLOOKUP($J65,[18]Nod!$A$3:$E$991,4,FALSE)</f>
        <v>PAN115</v>
      </c>
      <c r="M65" s="337">
        <f>VLOOKUP($J65,[18]Nod!$A$3:$E$991,5,FALSE)</f>
        <v>7</v>
      </c>
      <c r="N65" s="77" t="s">
        <v>208</v>
      </c>
      <c r="O65" s="78">
        <f>+O63+O64</f>
        <v>3.7373405312690422</v>
      </c>
    </row>
    <row r="66" spans="1:15" ht="15" customHeight="1" x14ac:dyDescent="0.25">
      <c r="A66" s="440" t="s">
        <v>92</v>
      </c>
      <c r="B66" s="3"/>
      <c r="C66" s="41">
        <v>6182</v>
      </c>
      <c r="D66" s="441">
        <v>10</v>
      </c>
      <c r="E66" s="442">
        <v>0</v>
      </c>
      <c r="F66" s="31" t="str">
        <f>IFERROR(VLOOKUP($C66,[18]Nod!$A$3:$E$992,4,FALSE)," ")</f>
        <v>VEL230</v>
      </c>
      <c r="G66" s="31">
        <f>IFERROR(VLOOKUP($C66,[18]Nod!$A$3:$E$992,5,FALSE)," ")</f>
        <v>4</v>
      </c>
      <c r="H66" s="95" t="s">
        <v>93</v>
      </c>
      <c r="I66" s="79"/>
      <c r="J66" s="428">
        <v>6002</v>
      </c>
      <c r="K66" s="75">
        <v>1.2148865</v>
      </c>
      <c r="L66" s="337" t="str">
        <f>VLOOKUP($J66,[18]Nod!$A$3:$E$991,4,FALSE)</f>
        <v>PAN115</v>
      </c>
      <c r="M66" s="337">
        <f>VLOOKUP($J66,[18]Nod!$A$3:$E$991,5,FALSE)</f>
        <v>7</v>
      </c>
      <c r="N66"/>
    </row>
    <row r="67" spans="1:15" ht="15" customHeight="1" x14ac:dyDescent="0.25">
      <c r="A67" s="440" t="s">
        <v>94</v>
      </c>
      <c r="B67" s="3"/>
      <c r="C67" s="41">
        <v>6182</v>
      </c>
      <c r="D67" s="441">
        <v>10</v>
      </c>
      <c r="E67" s="442">
        <v>0</v>
      </c>
      <c r="F67" s="31" t="str">
        <f>IFERROR(VLOOKUP($C67,[18]Nod!$A$3:$E$992,4,FALSE)," ")</f>
        <v>VEL230</v>
      </c>
      <c r="G67" s="31">
        <f>IFERROR(VLOOKUP($C67,[18]Nod!$A$3:$E$992,5,FALSE)," ")</f>
        <v>4</v>
      </c>
      <c r="H67" s="95" t="s">
        <v>90</v>
      </c>
      <c r="I67" s="79"/>
      <c r="J67" s="428">
        <v>6002</v>
      </c>
      <c r="K67" s="75">
        <v>0.95012977382276609</v>
      </c>
      <c r="L67" s="337" t="str">
        <f>VLOOKUP($J67,[18]Nod!$A$3:$E$991,4,FALSE)</f>
        <v>PAN115</v>
      </c>
      <c r="M67" s="337">
        <f>VLOOKUP($J66,[18]Nod!$A$3:$E$991,5,FALSE)</f>
        <v>7</v>
      </c>
    </row>
    <row r="68" spans="1:15" ht="15" customHeight="1" x14ac:dyDescent="0.25">
      <c r="A68" s="440" t="s">
        <v>96</v>
      </c>
      <c r="B68" s="3"/>
      <c r="C68" s="41">
        <v>6380</v>
      </c>
      <c r="D68" s="441">
        <v>8.1199999999999992</v>
      </c>
      <c r="E68" s="442">
        <v>0</v>
      </c>
      <c r="F68" s="31" t="str">
        <f>IFERROR(VLOOKUP($C68,[18]Nod!$A$3:$E$992,4,FALSE)," ")</f>
        <v>BOQIII230</v>
      </c>
      <c r="G68" s="31">
        <f>IFERROR(VLOOKUP($C68,[18]Nod!$A$3:$E$992,5,FALSE)," ")</f>
        <v>4</v>
      </c>
      <c r="H68" s="95" t="s">
        <v>99</v>
      </c>
      <c r="I68" s="79"/>
      <c r="J68" s="428">
        <v>6002</v>
      </c>
      <c r="K68" s="75">
        <v>0</v>
      </c>
      <c r="L68" s="337" t="str">
        <f>VLOOKUP($J68,[18]Nod!$A$3:$E$991,4,FALSE)</f>
        <v>PAN115</v>
      </c>
      <c r="M68" s="337">
        <f>VLOOKUP($J67,[18]Nod!$A$3:$E$991,5,FALSE)</f>
        <v>7</v>
      </c>
    </row>
    <row r="69" spans="1:15" ht="15" customHeight="1" x14ac:dyDescent="0.25">
      <c r="A69" s="440" t="s">
        <v>102</v>
      </c>
      <c r="B69" s="3"/>
      <c r="C69" s="41">
        <v>6380</v>
      </c>
      <c r="D69" s="441">
        <v>5.12</v>
      </c>
      <c r="E69" s="442">
        <v>0</v>
      </c>
      <c r="F69" s="31" t="str">
        <f>IFERROR(VLOOKUP($C69,[18]Nod!$A$3:$E$992,4,FALSE)," ")</f>
        <v>BOQIII230</v>
      </c>
      <c r="G69" s="31">
        <f>IFERROR(VLOOKUP($C69,[18]Nod!$A$3:$E$992,5,FALSE)," ")</f>
        <v>4</v>
      </c>
      <c r="H69" s="95" t="s">
        <v>59</v>
      </c>
      <c r="I69" s="79"/>
      <c r="J69" s="428">
        <v>6002</v>
      </c>
      <c r="K69" s="75">
        <v>1.7266796989163489</v>
      </c>
      <c r="L69" s="337" t="str">
        <f>VLOOKUP($J69,[18]Nod!$A$3:$E$991,4,FALSE)</f>
        <v>PAN115</v>
      </c>
      <c r="M69" s="337">
        <f>VLOOKUP($J68,[18]Nod!$A$3:$E$991,5,FALSE)</f>
        <v>7</v>
      </c>
    </row>
    <row r="70" spans="1:15" ht="15" customHeight="1" x14ac:dyDescent="0.25">
      <c r="A70" s="440" t="s">
        <v>320</v>
      </c>
      <c r="B70" s="3"/>
      <c r="C70" s="41">
        <v>6182</v>
      </c>
      <c r="D70" s="441">
        <v>5.86</v>
      </c>
      <c r="E70" s="442">
        <v>0</v>
      </c>
      <c r="F70" s="31" t="str">
        <f>IFERROR(VLOOKUP($C70,[18]Nod!$A$3:$E$992,4,FALSE)," ")</f>
        <v>VEL230</v>
      </c>
      <c r="G70" s="31">
        <f>IFERROR(VLOOKUP($C70,[18]Nod!$A$3:$E$992,5,FALSE)," ")</f>
        <v>4</v>
      </c>
      <c r="H70" s="443" t="s">
        <v>37</v>
      </c>
      <c r="I70" s="444"/>
      <c r="J70" s="445"/>
      <c r="K70" s="446"/>
      <c r="L70" s="337"/>
      <c r="M70" s="337"/>
    </row>
    <row r="71" spans="1:15" ht="15" customHeight="1" x14ac:dyDescent="0.25">
      <c r="A71" s="440" t="s">
        <v>300</v>
      </c>
      <c r="B71" s="22"/>
      <c r="C71" s="57">
        <v>6380</v>
      </c>
      <c r="D71" s="441">
        <v>6.3</v>
      </c>
      <c r="E71" s="466">
        <v>0</v>
      </c>
      <c r="F71" s="31" t="str">
        <f>IFERROR(VLOOKUP($C71,[18]Nod!$A$3:$E$992,4,FALSE)," ")</f>
        <v>BOQIII230</v>
      </c>
      <c r="G71" s="31">
        <f>IFERROR(VLOOKUP($C71,[18]Nod!$A$3:$E$992,5,FALSE)," ")</f>
        <v>4</v>
      </c>
      <c r="H71" s="447">
        <v>8</v>
      </c>
      <c r="I71" s="438"/>
      <c r="J71" s="467"/>
      <c r="K71" s="439">
        <f>SUM(K72:K74)</f>
        <v>1.31</v>
      </c>
      <c r="L71" s="337"/>
      <c r="M71" s="337"/>
    </row>
    <row r="72" spans="1:15" ht="15" customHeight="1" x14ac:dyDescent="0.25">
      <c r="A72" s="440" t="s">
        <v>321</v>
      </c>
      <c r="B72" s="22"/>
      <c r="C72" s="57">
        <v>6013</v>
      </c>
      <c r="D72" s="441">
        <v>8.86</v>
      </c>
      <c r="E72" s="466">
        <v>0</v>
      </c>
      <c r="F72" s="31" t="str">
        <f>IFERROR(VLOOKUP($C72,[18]Nod!$A$3:$E$992,4,FALSE)," ")</f>
        <v>MDN34</v>
      </c>
      <c r="G72" s="31">
        <f>IFERROR(VLOOKUP($C72,[18]Nod!$A$3:$E$992,5,FALSE)," ")</f>
        <v>4</v>
      </c>
      <c r="H72" s="429" t="s">
        <v>77</v>
      </c>
      <c r="I72" s="79"/>
      <c r="J72" s="428"/>
      <c r="K72" s="90"/>
      <c r="L72" s="337"/>
      <c r="M72" s="337"/>
    </row>
    <row r="73" spans="1:15" ht="15" customHeight="1" x14ac:dyDescent="0.25">
      <c r="A73" s="440" t="s">
        <v>322</v>
      </c>
      <c r="B73" s="3"/>
      <c r="C73" s="56">
        <v>6013</v>
      </c>
      <c r="D73" s="441">
        <v>9</v>
      </c>
      <c r="E73" s="442">
        <v>0</v>
      </c>
      <c r="F73" s="31" t="str">
        <f>IFERROR(VLOOKUP($C73,[18]Nod!$A$3:$E$992,4,FALSE)," ")</f>
        <v>MDN34</v>
      </c>
      <c r="G73" s="31">
        <f>IFERROR(VLOOKUP($C73,[18]Nod!$A$3:$E$992,5,FALSE)," ")</f>
        <v>4</v>
      </c>
      <c r="H73" s="468" t="s">
        <v>107</v>
      </c>
      <c r="I73" s="79"/>
      <c r="J73" s="428">
        <v>6100</v>
      </c>
      <c r="K73" s="90">
        <v>1.31</v>
      </c>
      <c r="L73" s="337" t="str">
        <f>VLOOKUP($J73,[18]Nod!$A$3:$E$991,4,FALSE)</f>
        <v>BAY230</v>
      </c>
      <c r="M73" s="337">
        <f>VLOOKUP($J73,[18]Nod!$A$3:$E$991,5,FALSE)</f>
        <v>8</v>
      </c>
    </row>
    <row r="74" spans="1:15" ht="15" customHeight="1" x14ac:dyDescent="0.25">
      <c r="A74" s="448" t="s">
        <v>109</v>
      </c>
      <c r="B74" s="3"/>
      <c r="C74" s="56">
        <v>6520</v>
      </c>
      <c r="D74" s="449">
        <v>19.8</v>
      </c>
      <c r="E74" s="442">
        <v>0</v>
      </c>
      <c r="F74" s="31" t="str">
        <f>IFERROR(VLOOKUP($C74,[18]Nod!$A$3:$E$992,4,FALSE)," ")</f>
        <v>SBA34</v>
      </c>
      <c r="G74" s="31">
        <f>IFERROR(VLOOKUP($C74,[18]Nod!$A$3:$E$992,5,FALSE)," ")</f>
        <v>4</v>
      </c>
      <c r="H74" s="443" t="s">
        <v>37</v>
      </c>
      <c r="I74" s="444"/>
      <c r="J74" s="445"/>
      <c r="K74" s="446"/>
      <c r="L74" s="337"/>
      <c r="M74" s="337"/>
    </row>
    <row r="75" spans="1:15" ht="15" customHeight="1" x14ac:dyDescent="0.25">
      <c r="A75" s="440" t="s">
        <v>113</v>
      </c>
      <c r="B75" s="3"/>
      <c r="C75" s="56">
        <v>6550</v>
      </c>
      <c r="D75" s="441">
        <v>7.62</v>
      </c>
      <c r="E75" s="442">
        <v>0</v>
      </c>
      <c r="F75" s="31" t="str">
        <f>IFERROR(VLOOKUP($C75,[18]Nod!$A$3:$E$992,4,FALSE)," ")</f>
        <v>BEV230</v>
      </c>
      <c r="G75" s="31">
        <f>IFERROR(VLOOKUP($C75,[18]Nod!$A$3:$E$992,5,FALSE)," ")</f>
        <v>4</v>
      </c>
      <c r="H75" s="447">
        <v>9</v>
      </c>
      <c r="I75" s="438"/>
      <c r="J75" s="437"/>
      <c r="K75" s="439">
        <f>SUM(K76:K82)</f>
        <v>148.55000000000001</v>
      </c>
      <c r="L75" s="337"/>
      <c r="M75" s="337"/>
    </row>
    <row r="76" spans="1:15" ht="15" customHeight="1" x14ac:dyDescent="0.25">
      <c r="A76" s="440" t="s">
        <v>323</v>
      </c>
      <c r="B76" s="3"/>
      <c r="C76" s="41">
        <v>6380</v>
      </c>
      <c r="D76" s="441">
        <v>10</v>
      </c>
      <c r="E76" s="442">
        <v>0</v>
      </c>
      <c r="F76" s="31" t="str">
        <f>IFERROR(VLOOKUP($C76,[18]Nod!$A$3:$E$992,4,FALSE)," ")</f>
        <v>BOQIII230</v>
      </c>
      <c r="G76" s="31">
        <f>IFERROR(VLOOKUP($C76,[18]Nod!$A$3:$E$992,5,FALSE)," ")</f>
        <v>4</v>
      </c>
      <c r="H76" s="429" t="s">
        <v>77</v>
      </c>
      <c r="I76" s="79"/>
      <c r="J76" s="428"/>
      <c r="K76" s="90"/>
      <c r="L76" s="337"/>
      <c r="M76" s="337"/>
    </row>
    <row r="77" spans="1:15" ht="15" customHeight="1" x14ac:dyDescent="0.25">
      <c r="A77" s="440" t="s">
        <v>324</v>
      </c>
      <c r="B77" s="3"/>
      <c r="C77" s="41">
        <v>6380</v>
      </c>
      <c r="D77" s="441">
        <v>10</v>
      </c>
      <c r="E77" s="442">
        <v>0</v>
      </c>
      <c r="F77" s="31" t="str">
        <f>IFERROR(VLOOKUP($C77,[18]Nod!$A$3:$E$992,4,FALSE)," ")</f>
        <v>BOQIII230</v>
      </c>
      <c r="G77" s="31">
        <f>IFERROR(VLOOKUP($C77,[18]Nod!$A$3:$E$992,5,FALSE)," ")</f>
        <v>4</v>
      </c>
      <c r="H77" s="95" t="s">
        <v>112</v>
      </c>
      <c r="I77" s="79"/>
      <c r="J77" s="428">
        <v>6059</v>
      </c>
      <c r="K77" s="75">
        <v>140.12</v>
      </c>
      <c r="L77" s="337" t="str">
        <f>VLOOKUP($J77,[18]Nod!$A$3:$E$991,4,FALSE)</f>
        <v>LM1115</v>
      </c>
      <c r="M77" s="337">
        <f>VLOOKUP($J77,[18]Nod!$A$3:$E$991,5,FALSE)</f>
        <v>9</v>
      </c>
    </row>
    <row r="78" spans="1:15" ht="15" customHeight="1" x14ac:dyDescent="0.25">
      <c r="A78" s="440" t="s">
        <v>325</v>
      </c>
      <c r="B78" s="3"/>
      <c r="C78" s="41">
        <v>6380</v>
      </c>
      <c r="D78" s="441">
        <v>10</v>
      </c>
      <c r="E78" s="442">
        <v>0</v>
      </c>
      <c r="F78" s="31" t="str">
        <f>IFERROR(VLOOKUP($C78,[18]Nod!$A$3:$E$992,4,FALSE)," ")</f>
        <v>BOQIII230</v>
      </c>
      <c r="G78" s="31">
        <f>IFERROR(VLOOKUP($C78,[18]Nod!$A$3:$E$992,5,FALSE)," ")</f>
        <v>4</v>
      </c>
      <c r="H78" s="429" t="s">
        <v>57</v>
      </c>
      <c r="I78" s="79"/>
      <c r="J78" s="428"/>
      <c r="K78" s="90"/>
      <c r="L78" s="337"/>
      <c r="M78" s="337"/>
    </row>
    <row r="79" spans="1:15" ht="15" customHeight="1" x14ac:dyDescent="0.25">
      <c r="A79" s="440" t="s">
        <v>326</v>
      </c>
      <c r="B79" s="3"/>
      <c r="C79" s="41">
        <v>6380</v>
      </c>
      <c r="D79" s="441">
        <v>10</v>
      </c>
      <c r="E79" s="442">
        <v>0</v>
      </c>
      <c r="F79" s="31" t="str">
        <f>IFERROR(VLOOKUP($C79,[18]Nod!$A$3:$E$992,4,FALSE)," ")</f>
        <v>BOQIII230</v>
      </c>
      <c r="G79" s="31">
        <f>IFERROR(VLOOKUP($C79,[18]Nod!$A$3:$E$992,5,FALSE)," ")</f>
        <v>4</v>
      </c>
      <c r="H79" s="95" t="s">
        <v>115</v>
      </c>
      <c r="I79" s="79"/>
      <c r="J79" s="428">
        <v>6170</v>
      </c>
      <c r="K79" s="75">
        <v>7.25</v>
      </c>
      <c r="L79" s="337" t="str">
        <f>VLOOKUP($J79,[18]Nod!$A$3:$E$991,4,FALSE)</f>
        <v>CPA115</v>
      </c>
      <c r="M79" s="337">
        <f>VLOOKUP($J79,[18]Nod!$A$3:$E$991,5,FALSE)</f>
        <v>9</v>
      </c>
    </row>
    <row r="80" spans="1:15" ht="15" customHeight="1" x14ac:dyDescent="0.25">
      <c r="A80" s="440" t="s">
        <v>327</v>
      </c>
      <c r="B80" s="3"/>
      <c r="C80" s="57">
        <v>6013</v>
      </c>
      <c r="D80" s="441">
        <v>9.9600000000000009</v>
      </c>
      <c r="E80" s="442">
        <v>0</v>
      </c>
      <c r="F80" s="31" t="str">
        <f>IFERROR(VLOOKUP($C80,[18]Nod!$A$3:$E$992,4,FALSE)," ")</f>
        <v>MDN34</v>
      </c>
      <c r="G80" s="31">
        <f>IFERROR(VLOOKUP($C80,[18]Nod!$A$3:$E$992,5,FALSE)," ")</f>
        <v>4</v>
      </c>
      <c r="H80" s="95" t="s">
        <v>59</v>
      </c>
      <c r="I80" s="79"/>
      <c r="J80" s="428">
        <v>6059</v>
      </c>
      <c r="K80" s="75">
        <v>1.18</v>
      </c>
      <c r="L80" s="337" t="str">
        <f>VLOOKUP($J80,[18]Nod!$A$3:$E$991,4,FALSE)</f>
        <v>LM1115</v>
      </c>
      <c r="M80" s="337">
        <f>VLOOKUP($J80,[18]Nod!$A$3:$E$991,5,FALSE)</f>
        <v>9</v>
      </c>
    </row>
    <row r="81" spans="1:13" ht="15" customHeight="1" x14ac:dyDescent="0.25">
      <c r="A81" s="440" t="s">
        <v>328</v>
      </c>
      <c r="B81" s="3"/>
      <c r="C81" s="57">
        <v>6013</v>
      </c>
      <c r="D81" s="441">
        <v>9.9600000000000009</v>
      </c>
      <c r="E81" s="442">
        <v>0</v>
      </c>
      <c r="F81" s="31" t="str">
        <f>IFERROR(VLOOKUP($C81,[18]Nod!$A$3:$E$992,4,FALSE)," ")</f>
        <v>MDN34</v>
      </c>
      <c r="G81" s="31">
        <f>IFERROR(VLOOKUP($C81,[18]Nod!$A$3:$E$992,5,FALSE)," ")</f>
        <v>4</v>
      </c>
      <c r="H81" s="95" t="s">
        <v>329</v>
      </c>
      <c r="I81" s="79"/>
      <c r="J81" s="428">
        <v>6173</v>
      </c>
      <c r="K81" s="75">
        <v>0</v>
      </c>
      <c r="L81" s="337" t="str">
        <f>VLOOKUP($J81,[18]Nod!$A$3:$E$991,4,FALSE)</f>
        <v>STR115</v>
      </c>
      <c r="M81" s="337">
        <f>VLOOKUP($J81,[18]Nod!$A$3:$E$991,5,FALSE)</f>
        <v>9</v>
      </c>
    </row>
    <row r="82" spans="1:13" ht="15" customHeight="1" x14ac:dyDescent="0.2">
      <c r="A82" s="448" t="s">
        <v>330</v>
      </c>
      <c r="B82" s="3"/>
      <c r="C82" s="57">
        <v>6013</v>
      </c>
      <c r="D82" s="469"/>
      <c r="E82" s="442">
        <v>0</v>
      </c>
      <c r="F82" s="31" t="str">
        <f>IFERROR(VLOOKUP($C82,[18]Nod!$A$3:$E$992,4,FALSE)," ")</f>
        <v>MDN34</v>
      </c>
      <c r="G82" s="31">
        <f>IFERROR(VLOOKUP($C82,[18]Nod!$A$3:$E$992,5,FALSE)," ")</f>
        <v>4</v>
      </c>
      <c r="H82" s="443" t="s">
        <v>37</v>
      </c>
      <c r="I82" s="444"/>
      <c r="J82" s="445"/>
      <c r="K82" s="446"/>
      <c r="L82" s="337"/>
      <c r="M82" s="337"/>
    </row>
    <row r="83" spans="1:13" ht="15" customHeight="1" x14ac:dyDescent="0.2">
      <c r="A83" s="440" t="s">
        <v>331</v>
      </c>
      <c r="B83" s="3"/>
      <c r="C83" s="57">
        <v>6013</v>
      </c>
      <c r="D83" s="469"/>
      <c r="E83" s="442">
        <v>0</v>
      </c>
      <c r="F83" s="31" t="str">
        <f>IFERROR(VLOOKUP($C83,[18]Nod!$A$3:$E$992,4,FALSE)," ")</f>
        <v>MDN34</v>
      </c>
      <c r="G83" s="31">
        <f>IFERROR(VLOOKUP($C83,[18]Nod!$A$3:$E$992,5,FALSE)," ")</f>
        <v>4</v>
      </c>
      <c r="H83" s="453">
        <v>10</v>
      </c>
      <c r="I83" s="454"/>
      <c r="J83" s="455"/>
      <c r="K83" s="456">
        <f>SUM(K84:K87)</f>
        <v>64.363653074839306</v>
      </c>
      <c r="L83" s="337"/>
      <c r="M83" s="337"/>
    </row>
    <row r="84" spans="1:13" ht="15" customHeight="1" x14ac:dyDescent="0.25">
      <c r="A84" s="470" t="s">
        <v>84</v>
      </c>
      <c r="B84" s="3"/>
      <c r="C84" s="41">
        <v>6182</v>
      </c>
      <c r="D84" s="441">
        <v>4.75</v>
      </c>
      <c r="E84" s="442">
        <v>0</v>
      </c>
      <c r="F84" s="31" t="str">
        <f>IFERROR(VLOOKUP($C84,[18]Nod!$A$3:$E$992,4,FALSE)," ")</f>
        <v>VEL230</v>
      </c>
      <c r="G84" s="31">
        <f>IFERROR(VLOOKUP($C84,[18]Nod!$A$3:$E$992,5,FALSE)," ")</f>
        <v>4</v>
      </c>
      <c r="H84" s="429" t="s">
        <v>31</v>
      </c>
      <c r="I84" s="79"/>
      <c r="J84" s="428"/>
      <c r="K84" s="90"/>
      <c r="L84" s="337"/>
      <c r="M84" s="337"/>
    </row>
    <row r="85" spans="1:13" ht="15" customHeight="1" x14ac:dyDescent="0.2">
      <c r="A85" s="440" t="s">
        <v>332</v>
      </c>
      <c r="B85" s="3"/>
      <c r="C85" s="41">
        <v>6182</v>
      </c>
      <c r="D85" s="469"/>
      <c r="E85" s="442">
        <v>0</v>
      </c>
      <c r="F85" s="31" t="str">
        <f>IFERROR(VLOOKUP($C85,[18]Nod!$A$3:$E$992,4,FALSE)," ")</f>
        <v>VEL230</v>
      </c>
      <c r="G85" s="31">
        <f>IFERROR(VLOOKUP($C85,[18]Nod!$A$3:$E$992,5,FALSE)," ")</f>
        <v>4</v>
      </c>
      <c r="H85" s="95" t="s">
        <v>333</v>
      </c>
      <c r="I85" s="79"/>
      <c r="J85" s="428">
        <v>6340</v>
      </c>
      <c r="K85" s="75">
        <v>27.263653074839301</v>
      </c>
      <c r="L85" s="337" t="str">
        <f>VLOOKUP($J85,[18]Nod!$A$3:$E$991,4,FALSE)</f>
        <v>CAN230</v>
      </c>
      <c r="M85" s="337">
        <f>VLOOKUP($J85,[18]Nod!$A$3:$E$991,5,FALSE)</f>
        <v>10</v>
      </c>
    </row>
    <row r="86" spans="1:13" ht="15" customHeight="1" x14ac:dyDescent="0.2">
      <c r="A86" s="440" t="s">
        <v>334</v>
      </c>
      <c r="B86" s="3"/>
      <c r="C86" s="41">
        <v>6182</v>
      </c>
      <c r="D86" s="469"/>
      <c r="E86" s="442">
        <v>0</v>
      </c>
      <c r="F86" s="31" t="str">
        <f>IFERROR(VLOOKUP($C86,[18]Nod!$A$3:$E$992,4,FALSE)," ")</f>
        <v>VEL230</v>
      </c>
      <c r="G86" s="31">
        <f>IFERROR(VLOOKUP($C86,[18]Nod!$A$3:$E$992,5,FALSE)," ")</f>
        <v>4</v>
      </c>
      <c r="H86" s="95" t="s">
        <v>197</v>
      </c>
      <c r="I86" s="79"/>
      <c r="J86" s="428">
        <v>6262</v>
      </c>
      <c r="K86" s="75">
        <v>37.1</v>
      </c>
      <c r="L86" s="337" t="str">
        <f>VLOOKUP($J86,[18]Nod!$A$3:$E$991,4,FALSE)</f>
        <v>CHA34</v>
      </c>
      <c r="M86" s="337">
        <f>VLOOKUP($J86,[18]Nod!$A$3:$E$991,5,FALSE)</f>
        <v>10</v>
      </c>
    </row>
    <row r="87" spans="1:13" ht="15" customHeight="1" x14ac:dyDescent="0.2">
      <c r="A87" s="440" t="s">
        <v>335</v>
      </c>
      <c r="C87" s="41">
        <v>6380</v>
      </c>
      <c r="D87" s="469"/>
      <c r="E87" s="442"/>
      <c r="F87" s="31" t="str">
        <f>IFERROR(VLOOKUP($C87,[18]Nod!$A$3:$E$992,4,FALSE)," ")</f>
        <v>BOQIII230</v>
      </c>
      <c r="G87" s="31">
        <f>IFERROR(VLOOKUP($C87,[18]Nod!$A$3:$E$992,5,FALSE)," ")</f>
        <v>4</v>
      </c>
      <c r="H87" s="443" t="s">
        <v>37</v>
      </c>
      <c r="I87" s="444"/>
      <c r="J87" s="445"/>
      <c r="K87" s="446"/>
      <c r="L87" s="337"/>
      <c r="M87" s="337"/>
    </row>
    <row r="88" spans="1:13" ht="15" customHeight="1" x14ac:dyDescent="0.2">
      <c r="A88" s="440" t="s">
        <v>336</v>
      </c>
      <c r="C88" s="41">
        <v>6380</v>
      </c>
      <c r="D88" s="469"/>
      <c r="E88" s="442"/>
      <c r="F88" s="31" t="str">
        <f>IFERROR(VLOOKUP($C88,[18]Nod!$A$3:$E$992,4,FALSE)," ")</f>
        <v>BOQIII230</v>
      </c>
      <c r="G88" s="31">
        <f>IFERROR(VLOOKUP($C88,[18]Nod!$A$3:$E$992,5,FALSE)," ")</f>
        <v>4</v>
      </c>
      <c r="H88" s="337"/>
      <c r="I88" s="337"/>
      <c r="J88" s="337"/>
      <c r="K88" s="337"/>
      <c r="L88" s="337"/>
      <c r="M88" s="337"/>
    </row>
    <row r="89" spans="1:13" ht="15" customHeight="1" x14ac:dyDescent="0.2">
      <c r="A89" s="440" t="s">
        <v>129</v>
      </c>
      <c r="C89" s="41">
        <v>6380</v>
      </c>
      <c r="D89" s="469"/>
      <c r="E89" s="442"/>
      <c r="F89" s="31" t="str">
        <f>IFERROR(VLOOKUP($C89,[18]Nod!$A$3:$E$992,4,FALSE)," ")</f>
        <v>BOQIII230</v>
      </c>
      <c r="G89" s="31">
        <f>IFERROR(VLOOKUP($C89,[18]Nod!$A$3:$E$992,5,FALSE)," ")</f>
        <v>4</v>
      </c>
      <c r="L89" s="337"/>
      <c r="M89" s="337"/>
    </row>
    <row r="90" spans="1:13" ht="15" customHeight="1" x14ac:dyDescent="0.25">
      <c r="A90" s="440" t="s">
        <v>337</v>
      </c>
      <c r="C90" s="41">
        <v>6013</v>
      </c>
      <c r="D90" s="471"/>
      <c r="E90" s="442"/>
      <c r="F90" s="31" t="str">
        <f>IFERROR(VLOOKUP($C90,[18]Nod!$A$3:$E$992,4,FALSE)," ")</f>
        <v>MDN34</v>
      </c>
      <c r="G90" s="31">
        <f>IFERROR(VLOOKUP($C90,[18]Nod!$A$3:$E$992,5,FALSE)," ")</f>
        <v>4</v>
      </c>
      <c r="L90" s="337"/>
      <c r="M90" s="337"/>
    </row>
    <row r="91" spans="1:13" ht="15" customHeight="1" x14ac:dyDescent="0.2">
      <c r="A91" s="440" t="s">
        <v>338</v>
      </c>
      <c r="C91" s="41">
        <v>6013</v>
      </c>
      <c r="D91" s="469"/>
      <c r="E91" s="442"/>
      <c r="F91" s="31" t="str">
        <f>IFERROR(VLOOKUP($C91,[18]Nod!$A$3:$E$992,4,FALSE)," ")</f>
        <v>MDN34</v>
      </c>
      <c r="G91" s="31">
        <f>IFERROR(VLOOKUP($C91,[18]Nod!$A$3:$E$992,5,FALSE)," ")</f>
        <v>4</v>
      </c>
      <c r="L91" s="337"/>
      <c r="M91" s="337"/>
    </row>
    <row r="92" spans="1:13" ht="15" customHeight="1" x14ac:dyDescent="0.25">
      <c r="A92" s="55" t="s">
        <v>37</v>
      </c>
      <c r="B92" s="43"/>
      <c r="C92" s="44"/>
      <c r="D92" s="44"/>
      <c r="E92" s="461"/>
      <c r="F92" s="31" t="str">
        <f>IFERROR(VLOOKUP($C92,[18]Nod!$A$3:$E$992,4,FALSE)," ")</f>
        <v xml:space="preserve"> </v>
      </c>
      <c r="G92" s="31" t="str">
        <f>IFERROR(VLOOKUP($C92,[18]Nod!$A$3:$E$992,5,FALSE)," ")</f>
        <v xml:space="preserve"> </v>
      </c>
      <c r="L92" s="337"/>
      <c r="M92" s="337"/>
    </row>
    <row r="93" spans="1:13" ht="15" customHeight="1" x14ac:dyDescent="0.25">
      <c r="A93" s="49">
        <v>5</v>
      </c>
      <c r="B93" s="45"/>
      <c r="C93" s="46"/>
      <c r="D93" s="472">
        <f>SUM(D94:D139)</f>
        <v>770.5586209999999</v>
      </c>
      <c r="E93" s="436"/>
      <c r="F93" s="31" t="str">
        <f>IFERROR(VLOOKUP($C93,[18]Nod!$A$3:$E$992,4,FALSE)," ")</f>
        <v xml:space="preserve"> </v>
      </c>
      <c r="G93" s="31" t="str">
        <f>IFERROR(VLOOKUP($C93,[18]Nod!$A$3:$E$992,5,FALSE)," ")</f>
        <v xml:space="preserve"> </v>
      </c>
      <c r="L93" s="337"/>
      <c r="M93" s="337"/>
    </row>
    <row r="94" spans="1:13" ht="15" customHeight="1" x14ac:dyDescent="0.25">
      <c r="A94" s="440" t="s">
        <v>339</v>
      </c>
      <c r="C94" s="59">
        <v>6010</v>
      </c>
      <c r="D94" s="441">
        <v>6.66</v>
      </c>
      <c r="E94" s="442">
        <v>0</v>
      </c>
      <c r="F94" s="31" t="str">
        <f>IFERROR(VLOOKUP($C94,[18]Nod!$A$3:$E$992,4,FALSE)," ")</f>
        <v>LSA34</v>
      </c>
      <c r="G94" s="31">
        <f>IFERROR(VLOOKUP($C94,[18]Nod!$A$3:$E$992,5,FALSE)," ")</f>
        <v>5</v>
      </c>
      <c r="L94" s="337"/>
      <c r="M94" s="337"/>
    </row>
    <row r="95" spans="1:13" ht="15" customHeight="1" x14ac:dyDescent="0.25">
      <c r="A95" s="440" t="s">
        <v>137</v>
      </c>
      <c r="C95" s="59">
        <v>6010</v>
      </c>
      <c r="D95" s="441">
        <v>7</v>
      </c>
      <c r="E95" s="473">
        <v>0</v>
      </c>
      <c r="F95" s="31" t="str">
        <f>IFERROR(VLOOKUP($C95,[18]Nod!$A$3:$E$992,4,FALSE)," ")</f>
        <v>LSA34</v>
      </c>
      <c r="G95" s="31">
        <f>IFERROR(VLOOKUP($C95,[18]Nod!$A$3:$E$992,5,FALSE)," ")</f>
        <v>5</v>
      </c>
      <c r="L95" s="337"/>
      <c r="M95" s="337"/>
    </row>
    <row r="96" spans="1:13" ht="15" customHeight="1" x14ac:dyDescent="0.25">
      <c r="A96" s="459" t="s">
        <v>340</v>
      </c>
      <c r="C96" s="59">
        <v>6010</v>
      </c>
      <c r="D96" s="441">
        <v>55</v>
      </c>
      <c r="E96" s="442">
        <v>0</v>
      </c>
      <c r="F96" s="31" t="str">
        <f>IFERROR(VLOOKUP($C96,[18]Nod!$A$3:$E$992,4,FALSE)," ")</f>
        <v>LSA34</v>
      </c>
      <c r="G96" s="31">
        <f>IFERROR(VLOOKUP($C96,[18]Nod!$A$3:$E$992,5,FALSE)," ")</f>
        <v>5</v>
      </c>
      <c r="L96" s="337"/>
      <c r="M96" s="337"/>
    </row>
    <row r="97" spans="1:13" ht="15" customHeight="1" x14ac:dyDescent="0.25">
      <c r="A97" s="459" t="s">
        <v>341</v>
      </c>
      <c r="C97" s="59">
        <v>6010</v>
      </c>
      <c r="D97" s="441">
        <v>17.5</v>
      </c>
      <c r="E97" s="442">
        <v>0</v>
      </c>
      <c r="F97" s="31" t="str">
        <f>IFERROR(VLOOKUP($C97,[18]Nod!$A$3:$E$992,4,FALSE)," ")</f>
        <v>LSA34</v>
      </c>
      <c r="G97" s="31">
        <f>IFERROR(VLOOKUP($C97,[18]Nod!$A$3:$E$992,5,FALSE)," ")</f>
        <v>5</v>
      </c>
      <c r="L97" s="337"/>
      <c r="M97" s="337"/>
    </row>
    <row r="98" spans="1:13" ht="15" customHeight="1" x14ac:dyDescent="0.25">
      <c r="A98" s="440" t="s">
        <v>342</v>
      </c>
      <c r="C98" s="59">
        <v>6010</v>
      </c>
      <c r="D98" s="441">
        <v>52.5</v>
      </c>
      <c r="E98" s="442">
        <v>0</v>
      </c>
      <c r="F98" s="31" t="str">
        <f>IFERROR(VLOOKUP($C98,[18]Nod!$A$3:$E$992,4,FALSE)," ")</f>
        <v>LSA34</v>
      </c>
      <c r="G98" s="31">
        <f>IFERROR(VLOOKUP($C98,[18]Nod!$A$3:$E$992,5,FALSE)," ")</f>
        <v>5</v>
      </c>
      <c r="L98" s="337"/>
      <c r="M98" s="337"/>
    </row>
    <row r="99" spans="1:13" ht="15" customHeight="1" x14ac:dyDescent="0.25">
      <c r="A99" s="440" t="s">
        <v>343</v>
      </c>
      <c r="C99" s="59">
        <v>6010</v>
      </c>
      <c r="D99" s="441">
        <v>51.75</v>
      </c>
      <c r="E99" s="442">
        <v>0</v>
      </c>
      <c r="F99" s="31" t="str">
        <f>IFERROR(VLOOKUP($C99,[18]Nod!$A$3:$E$992,4,FALSE)," ")</f>
        <v>LSA34</v>
      </c>
      <c r="G99" s="31">
        <f>IFERROR(VLOOKUP($C99,[18]Nod!$A$3:$E$992,5,FALSE)," ")</f>
        <v>5</v>
      </c>
      <c r="L99" s="337"/>
      <c r="M99" s="337"/>
    </row>
    <row r="100" spans="1:13" ht="15" customHeight="1" x14ac:dyDescent="0.25">
      <c r="A100" s="440" t="s">
        <v>344</v>
      </c>
      <c r="C100" s="59">
        <v>6010</v>
      </c>
      <c r="D100" s="441">
        <v>32.5</v>
      </c>
      <c r="E100" s="442">
        <v>0</v>
      </c>
      <c r="F100" s="31" t="str">
        <f>IFERROR(VLOOKUP($C100,[18]Nod!$A$3:$E$992,4,FALSE)," ")</f>
        <v>LSA34</v>
      </c>
      <c r="G100" s="31">
        <f>IFERROR(VLOOKUP($C100,[18]Nod!$A$3:$E$992,5,FALSE)," ")</f>
        <v>5</v>
      </c>
      <c r="L100" s="337"/>
      <c r="M100" s="337"/>
    </row>
    <row r="101" spans="1:13" ht="15" customHeight="1" x14ac:dyDescent="0.25">
      <c r="A101" s="440" t="s">
        <v>345</v>
      </c>
      <c r="C101" s="59">
        <v>6010</v>
      </c>
      <c r="D101" s="441">
        <v>50</v>
      </c>
      <c r="E101" s="442">
        <v>0</v>
      </c>
      <c r="F101" s="31" t="str">
        <f>IFERROR(VLOOKUP($C101,[18]Nod!$A$3:$E$992,4,FALSE)," ")</f>
        <v>LSA34</v>
      </c>
      <c r="G101" s="31">
        <f>IFERROR(VLOOKUP($C101,[18]Nod!$A$3:$E$992,5,FALSE)," ")</f>
        <v>5</v>
      </c>
      <c r="L101" s="337"/>
      <c r="M101" s="337"/>
    </row>
    <row r="102" spans="1:13" ht="15" customHeight="1" x14ac:dyDescent="0.25">
      <c r="A102" s="440" t="s">
        <v>346</v>
      </c>
      <c r="C102" s="59">
        <v>6010</v>
      </c>
      <c r="D102" s="474">
        <f>+'Datos fijos AÑO 1'!D122</f>
        <v>136.978621</v>
      </c>
      <c r="E102" s="442">
        <v>0</v>
      </c>
      <c r="F102" s="31" t="str">
        <f>IFERROR(VLOOKUP($C102,[18]Nod!$A$3:$E$992,4,FALSE)," ")</f>
        <v>LSA34</v>
      </c>
      <c r="G102" s="31">
        <f>IFERROR(VLOOKUP($C102,[18]Nod!$A$3:$E$992,5,FALSE)," ")</f>
        <v>5</v>
      </c>
      <c r="L102" s="337"/>
      <c r="M102" s="337"/>
    </row>
    <row r="103" spans="1:13" ht="15" customHeight="1" x14ac:dyDescent="0.25">
      <c r="A103" s="440" t="s">
        <v>347</v>
      </c>
      <c r="C103" s="59">
        <v>6010</v>
      </c>
      <c r="D103" s="441">
        <v>120</v>
      </c>
      <c r="E103" s="442">
        <v>0</v>
      </c>
      <c r="F103" s="31" t="str">
        <f>IFERROR(VLOOKUP($C103,[18]Nod!$A$3:$E$992,4,FALSE)," ")</f>
        <v>LSA34</v>
      </c>
      <c r="G103" s="31">
        <f>IFERROR(VLOOKUP($C103,[18]Nod!$A$3:$E$992,5,FALSE)," ")</f>
        <v>5</v>
      </c>
      <c r="L103" s="337"/>
      <c r="M103" s="337"/>
    </row>
    <row r="104" spans="1:13" ht="15" customHeight="1" x14ac:dyDescent="0.25">
      <c r="A104" s="440" t="s">
        <v>348</v>
      </c>
      <c r="C104" s="59">
        <v>6010</v>
      </c>
      <c r="D104" s="441">
        <v>66</v>
      </c>
      <c r="E104" s="442">
        <v>0</v>
      </c>
      <c r="F104" s="31" t="str">
        <f>IFERROR(VLOOKUP($C104,[18]Nod!$A$3:$E$992,4,FALSE)," ")</f>
        <v>LSA34</v>
      </c>
      <c r="G104" s="31">
        <f>IFERROR(VLOOKUP($C104,[18]Nod!$A$3:$E$992,5,FALSE)," ")</f>
        <v>5</v>
      </c>
      <c r="L104" s="337"/>
      <c r="M104" s="337"/>
    </row>
    <row r="105" spans="1:13" ht="15" customHeight="1" x14ac:dyDescent="0.25">
      <c r="A105" s="459" t="s">
        <v>349</v>
      </c>
      <c r="C105" s="59">
        <v>6010</v>
      </c>
      <c r="D105" s="441">
        <v>9.99</v>
      </c>
      <c r="E105" s="442">
        <v>0</v>
      </c>
      <c r="F105" s="31" t="str">
        <f>IFERROR(VLOOKUP($C105,[18]Nod!$A$3:$E$992,4,FALSE)," ")</f>
        <v>LSA34</v>
      </c>
      <c r="G105" s="31">
        <f>IFERROR(VLOOKUP($C105,[18]Nod!$A$3:$E$992,5,FALSE)," ")</f>
        <v>5</v>
      </c>
      <c r="L105" s="337"/>
      <c r="M105" s="337"/>
    </row>
    <row r="106" spans="1:13" ht="15" customHeight="1" x14ac:dyDescent="0.25">
      <c r="A106" s="459" t="s">
        <v>350</v>
      </c>
      <c r="C106" s="59">
        <v>6010</v>
      </c>
      <c r="D106" s="441">
        <v>9.99</v>
      </c>
      <c r="E106" s="442">
        <v>0</v>
      </c>
      <c r="F106" s="31" t="str">
        <f>IFERROR(VLOOKUP($C106,[18]Nod!$A$3:$E$992,4,FALSE)," ")</f>
        <v>LSA34</v>
      </c>
      <c r="G106" s="31">
        <f>IFERROR(VLOOKUP($C106,[18]Nod!$A$3:$E$992,5,FALSE)," ")</f>
        <v>5</v>
      </c>
      <c r="K106" s="427"/>
      <c r="L106" s="337"/>
      <c r="M106" s="337"/>
    </row>
    <row r="107" spans="1:13" ht="15" customHeight="1" x14ac:dyDescent="0.25">
      <c r="A107" s="459" t="s">
        <v>351</v>
      </c>
      <c r="C107" s="59">
        <v>6010</v>
      </c>
      <c r="D107" s="475">
        <v>4.8</v>
      </c>
      <c r="E107" s="442">
        <v>0</v>
      </c>
      <c r="F107" s="31" t="str">
        <f>IFERROR(VLOOKUP($C107,[18]Nod!$A$3:$E$992,4,FALSE)," ")</f>
        <v>LSA34</v>
      </c>
      <c r="G107" s="31">
        <f>IFERROR(VLOOKUP($C107,[18]Nod!$A$3:$E$992,5,FALSE)," ")</f>
        <v>5</v>
      </c>
      <c r="K107" s="427"/>
      <c r="L107" s="337"/>
      <c r="M107" s="337"/>
    </row>
    <row r="108" spans="1:13" ht="15" customHeight="1" x14ac:dyDescent="0.25">
      <c r="A108" s="476" t="s">
        <v>352</v>
      </c>
      <c r="C108" s="59">
        <v>6010</v>
      </c>
      <c r="D108" s="477">
        <v>0.96</v>
      </c>
      <c r="E108" s="442">
        <v>0</v>
      </c>
      <c r="F108" s="31" t="str">
        <f>IFERROR(VLOOKUP($C108,[18]Nod!$A$3:$E$992,4,FALSE)," ")</f>
        <v>LSA34</v>
      </c>
      <c r="G108" s="31">
        <f>IFERROR(VLOOKUP($C108,[18]Nod!$A$3:$E$992,5,FALSE)," ")</f>
        <v>5</v>
      </c>
      <c r="K108" s="427"/>
      <c r="L108" s="337"/>
      <c r="M108" s="337"/>
    </row>
    <row r="109" spans="1:13" ht="15" customHeight="1" x14ac:dyDescent="0.25">
      <c r="A109" s="459" t="s">
        <v>353</v>
      </c>
      <c r="C109" s="59">
        <v>6010</v>
      </c>
      <c r="D109" s="441">
        <v>8.5</v>
      </c>
      <c r="E109" s="442">
        <v>0</v>
      </c>
      <c r="F109" s="31" t="str">
        <f>IFERROR(VLOOKUP($C109,[18]Nod!$A$3:$E$992,4,FALSE)," ")</f>
        <v>LSA34</v>
      </c>
      <c r="G109" s="31">
        <f>IFERROR(VLOOKUP($C109,[18]Nod!$A$3:$E$992,5,FALSE)," ")</f>
        <v>5</v>
      </c>
      <c r="K109" s="427"/>
      <c r="L109" s="337"/>
      <c r="M109" s="337"/>
    </row>
    <row r="110" spans="1:13" ht="15" customHeight="1" x14ac:dyDescent="0.25">
      <c r="A110" s="459" t="s">
        <v>354</v>
      </c>
      <c r="C110" s="39">
        <v>6460</v>
      </c>
      <c r="D110" s="441">
        <v>8.5</v>
      </c>
      <c r="E110" s="442">
        <v>0</v>
      </c>
      <c r="F110" s="31" t="str">
        <f>IFERROR(VLOOKUP($C110,[18]Nod!$A$3:$E$992,4,FALSE)," ")</f>
        <v>ECO230</v>
      </c>
      <c r="G110" s="31">
        <f>IFERROR(VLOOKUP($C110,[18]Nod!$A$3:$E$992,5,FALSE)," ")</f>
        <v>5</v>
      </c>
      <c r="K110" s="427"/>
      <c r="L110" s="337"/>
      <c r="M110" s="337"/>
    </row>
    <row r="111" spans="1:13" ht="15" customHeight="1" x14ac:dyDescent="0.25">
      <c r="A111" s="459" t="s">
        <v>355</v>
      </c>
      <c r="C111" s="39">
        <v>6460</v>
      </c>
      <c r="D111" s="441">
        <v>9.52</v>
      </c>
      <c r="E111" s="442">
        <v>0</v>
      </c>
      <c r="F111" s="31" t="str">
        <f>IFERROR(VLOOKUP($C111,[18]Nod!$A$3:$E$992,4,FALSE)," ")</f>
        <v>ECO230</v>
      </c>
      <c r="G111" s="31">
        <f>IFERROR(VLOOKUP($C111,[18]Nod!$A$3:$E$992,5,FALSE)," ")</f>
        <v>5</v>
      </c>
      <c r="K111" s="427"/>
      <c r="L111" s="337"/>
      <c r="M111" s="337"/>
    </row>
    <row r="112" spans="1:13" ht="15" customHeight="1" x14ac:dyDescent="0.25">
      <c r="A112" s="476" t="s">
        <v>356</v>
      </c>
      <c r="C112" s="39">
        <v>6460</v>
      </c>
      <c r="D112" s="449">
        <v>10.78</v>
      </c>
      <c r="E112" s="442">
        <v>0</v>
      </c>
      <c r="F112" s="31" t="str">
        <f>IFERROR(VLOOKUP($C112,[18]Nod!$A$3:$E$992,4,FALSE)," ")</f>
        <v>ECO230</v>
      </c>
      <c r="G112" s="31">
        <f>IFERROR(VLOOKUP($C112,[18]Nod!$A$3:$E$992,5,FALSE)," ")</f>
        <v>5</v>
      </c>
      <c r="K112" s="427"/>
      <c r="L112" s="337"/>
      <c r="M112" s="337"/>
    </row>
    <row r="113" spans="1:13" ht="15" customHeight="1" x14ac:dyDescent="0.25">
      <c r="A113" s="459" t="s">
        <v>357</v>
      </c>
      <c r="C113" s="39">
        <v>6460</v>
      </c>
      <c r="D113" s="441">
        <v>8.5</v>
      </c>
      <c r="E113" s="442">
        <v>0</v>
      </c>
      <c r="F113" s="31" t="str">
        <f>IFERROR(VLOOKUP($C113,[18]Nod!$A$3:$E$992,4,FALSE)," ")</f>
        <v>ECO230</v>
      </c>
      <c r="G113" s="31">
        <f>IFERROR(VLOOKUP($C113,[18]Nod!$A$3:$E$992,5,FALSE)," ")</f>
        <v>5</v>
      </c>
      <c r="K113" s="427"/>
      <c r="L113" s="337"/>
      <c r="M113" s="337"/>
    </row>
    <row r="114" spans="1:13" ht="15" customHeight="1" x14ac:dyDescent="0.25">
      <c r="A114" s="459" t="s">
        <v>358</v>
      </c>
      <c r="C114" s="39">
        <v>6460</v>
      </c>
      <c r="D114" s="441">
        <v>10</v>
      </c>
      <c r="E114" s="442">
        <v>0</v>
      </c>
      <c r="F114" s="31" t="str">
        <f>IFERROR(VLOOKUP($C114,[18]Nod!$A$3:$E$992,4,FALSE)," ")</f>
        <v>ECO230</v>
      </c>
      <c r="G114" s="31">
        <f>IFERROR(VLOOKUP($C114,[18]Nod!$A$3:$E$992,5,FALSE)," ")</f>
        <v>5</v>
      </c>
      <c r="K114" s="427"/>
      <c r="L114" s="337"/>
      <c r="M114" s="337"/>
    </row>
    <row r="115" spans="1:13" ht="15" customHeight="1" x14ac:dyDescent="0.25">
      <c r="A115" s="459" t="s">
        <v>359</v>
      </c>
      <c r="B115" s="61"/>
      <c r="C115" s="62">
        <v>6460</v>
      </c>
      <c r="D115" s="441">
        <v>10</v>
      </c>
      <c r="E115" s="442">
        <v>0</v>
      </c>
      <c r="F115" s="31" t="str">
        <f>IFERROR(VLOOKUP($C115,[18]Nod!$A$3:$E$992,4,FALSE)," ")</f>
        <v>ECO230</v>
      </c>
      <c r="G115" s="31">
        <f>IFERROR(VLOOKUP($C115,[18]Nod!$A$3:$E$992,5,FALSE)," ")</f>
        <v>5</v>
      </c>
      <c r="K115" s="427"/>
      <c r="L115" s="337"/>
      <c r="M115" s="337"/>
    </row>
    <row r="116" spans="1:13" ht="15" customHeight="1" x14ac:dyDescent="0.25">
      <c r="A116" s="476" t="s">
        <v>360</v>
      </c>
      <c r="C116" s="59">
        <v>6010</v>
      </c>
      <c r="D116" s="449">
        <v>16</v>
      </c>
      <c r="E116" s="442">
        <v>0</v>
      </c>
      <c r="F116" s="31" t="str">
        <f>IFERROR(VLOOKUP($C116,[18]Nod!$A$3:$E$992,4,FALSE)," ")</f>
        <v>LSA34</v>
      </c>
      <c r="G116" s="31">
        <f>IFERROR(VLOOKUP($C116,[18]Nod!$A$3:$E$992,5,FALSE)," ")</f>
        <v>5</v>
      </c>
      <c r="K116" s="427"/>
      <c r="L116" s="337"/>
      <c r="M116" s="337"/>
    </row>
    <row r="117" spans="1:13" ht="15" customHeight="1" x14ac:dyDescent="0.25">
      <c r="A117" s="459" t="s">
        <v>361</v>
      </c>
      <c r="C117" s="59">
        <v>6010</v>
      </c>
      <c r="D117" s="441">
        <v>9.9</v>
      </c>
      <c r="E117" s="442">
        <v>0</v>
      </c>
      <c r="F117" s="31" t="str">
        <f>IFERROR(VLOOKUP($C117,[18]Nod!$A$3:$E$992,4,FALSE)," ")</f>
        <v>LSA34</v>
      </c>
      <c r="G117" s="31">
        <f>IFERROR(VLOOKUP($C117,[18]Nod!$A$3:$E$992,5,FALSE)," ")</f>
        <v>5</v>
      </c>
      <c r="K117" s="427"/>
      <c r="L117" s="337"/>
      <c r="M117" s="337"/>
    </row>
    <row r="118" spans="1:13" ht="15" customHeight="1" x14ac:dyDescent="0.25">
      <c r="A118" s="459" t="s">
        <v>362</v>
      </c>
      <c r="C118" s="59">
        <v>6008</v>
      </c>
      <c r="D118" s="441">
        <v>9.9700000000000006</v>
      </c>
      <c r="E118" s="442">
        <v>0</v>
      </c>
      <c r="F118" s="31" t="str">
        <f>IFERROR(VLOOKUP($C118,[18]Nod!$A$3:$E$992,4,FALSE)," ")</f>
        <v>LSA230</v>
      </c>
      <c r="G118" s="31">
        <f>IFERROR(VLOOKUP($C118,[18]Nod!$A$3:$E$992,5,FALSE)," ")</f>
        <v>5</v>
      </c>
      <c r="K118" s="427"/>
      <c r="L118" s="337"/>
      <c r="M118" s="337"/>
    </row>
    <row r="119" spans="1:13" ht="15" customHeight="1" x14ac:dyDescent="0.25">
      <c r="A119" s="459" t="s">
        <v>363</v>
      </c>
      <c r="C119" s="59">
        <v>6010</v>
      </c>
      <c r="D119" s="441">
        <v>9.9700000000000006</v>
      </c>
      <c r="E119" s="442">
        <v>0</v>
      </c>
      <c r="F119" s="31" t="str">
        <f>IFERROR(VLOOKUP($C119,[18]Nod!$A$3:$E$992,4,FALSE)," ")</f>
        <v>LSA34</v>
      </c>
      <c r="G119" s="31">
        <f>IFERROR(VLOOKUP($C119,[18]Nod!$A$3:$E$992,5,FALSE)," ")</f>
        <v>5</v>
      </c>
      <c r="K119" s="427"/>
      <c r="L119" s="337"/>
      <c r="M119" s="337"/>
    </row>
    <row r="120" spans="1:13" ht="15" customHeight="1" x14ac:dyDescent="0.25">
      <c r="A120" s="459" t="s">
        <v>364</v>
      </c>
      <c r="C120" s="63">
        <v>6010</v>
      </c>
      <c r="D120" s="441">
        <v>9.8800000000000008</v>
      </c>
      <c r="E120" s="50">
        <v>0</v>
      </c>
      <c r="F120" s="31" t="str">
        <f>IFERROR(VLOOKUP($C120,[18]Nod!$A$3:$E$992,4,FALSE)," ")</f>
        <v>LSA34</v>
      </c>
      <c r="G120" s="31">
        <f>IFERROR(VLOOKUP($C120,[18]Nod!$A$3:$E$992,5,FALSE)," ")</f>
        <v>5</v>
      </c>
      <c r="K120" s="427"/>
      <c r="L120" s="337"/>
      <c r="M120" s="337"/>
    </row>
    <row r="121" spans="1:13" ht="15" customHeight="1" x14ac:dyDescent="0.25">
      <c r="A121" s="459" t="s">
        <v>365</v>
      </c>
      <c r="C121" s="63">
        <v>6010</v>
      </c>
      <c r="D121" s="441"/>
      <c r="E121" s="50"/>
      <c r="F121" s="31" t="str">
        <f>IFERROR(VLOOKUP($C121,[18]Nod!$A$3:$E$992,4,FALSE)," ")</f>
        <v>LSA34</v>
      </c>
      <c r="G121" s="31">
        <f>IFERROR(VLOOKUP($C121,[18]Nod!$A$3:$E$992,5,FALSE)," ")</f>
        <v>5</v>
      </c>
      <c r="K121" s="427"/>
      <c r="L121" s="337"/>
      <c r="M121" s="337"/>
    </row>
    <row r="122" spans="1:13" ht="15" customHeight="1" x14ac:dyDescent="0.25">
      <c r="A122" s="459" t="s">
        <v>366</v>
      </c>
      <c r="C122" s="63">
        <v>6010</v>
      </c>
      <c r="D122" s="441">
        <v>7.56</v>
      </c>
      <c r="E122" s="50">
        <v>7</v>
      </c>
      <c r="F122" s="31" t="str">
        <f>IFERROR(VLOOKUP($C122,[18]Nod!$A$3:$E$992,4,FALSE)," ")</f>
        <v>LSA34</v>
      </c>
      <c r="G122" s="31">
        <f>IFERROR(VLOOKUP($C122,[18]Nod!$A$3:$E$992,5,FALSE)," ")</f>
        <v>5</v>
      </c>
      <c r="K122" s="427"/>
      <c r="L122" s="337"/>
      <c r="M122" s="337"/>
    </row>
    <row r="123" spans="1:13" ht="15" customHeight="1" x14ac:dyDescent="0.25">
      <c r="A123" s="459" t="s">
        <v>367</v>
      </c>
      <c r="C123" s="63">
        <v>6010</v>
      </c>
      <c r="D123" s="441">
        <v>9.9</v>
      </c>
      <c r="E123" s="442">
        <v>9</v>
      </c>
      <c r="F123" s="31" t="str">
        <f>IFERROR(VLOOKUP($C123,[18]Nod!$A$3:$E$992,4,FALSE)," ")</f>
        <v>LSA34</v>
      </c>
      <c r="G123" s="31">
        <f>IFERROR(VLOOKUP($C123,[18]Nod!$A$3:$E$992,5,FALSE)," ")</f>
        <v>5</v>
      </c>
      <c r="K123" s="427"/>
      <c r="L123" s="337"/>
      <c r="M123" s="337"/>
    </row>
    <row r="124" spans="1:13" ht="15" customHeight="1" x14ac:dyDescent="0.2">
      <c r="A124" s="459" t="s">
        <v>368</v>
      </c>
      <c r="B124" s="64"/>
      <c r="C124" s="63">
        <v>6010</v>
      </c>
      <c r="D124" s="441">
        <v>9.9499999999999993</v>
      </c>
      <c r="E124" s="442">
        <v>12</v>
      </c>
      <c r="F124" s="31" t="str">
        <f>IFERROR(VLOOKUP($C124,[18]Nod!$A$3:$E$992,4,FALSE)," ")</f>
        <v>LSA34</v>
      </c>
      <c r="G124" s="31">
        <f>IFERROR(VLOOKUP($C124,[18]Nod!$A$3:$E$992,5,FALSE)," ")</f>
        <v>5</v>
      </c>
      <c r="K124" s="427"/>
      <c r="L124" s="337"/>
      <c r="M124" s="337"/>
    </row>
    <row r="125" spans="1:13" ht="15" customHeight="1" x14ac:dyDescent="0.2">
      <c r="A125" s="459" t="s">
        <v>369</v>
      </c>
      <c r="B125" s="64"/>
      <c r="C125" s="63">
        <v>6010</v>
      </c>
      <c r="D125" s="441"/>
      <c r="E125" s="442"/>
      <c r="F125" s="31" t="str">
        <f>IFERROR(VLOOKUP($C125,[18]Nod!$A$3:$E$992,4,FALSE)," ")</f>
        <v>LSA34</v>
      </c>
      <c r="G125" s="31">
        <f>IFERROR(VLOOKUP($C125,[18]Nod!$A$3:$E$992,5,FALSE)," ")</f>
        <v>5</v>
      </c>
      <c r="K125" s="427"/>
      <c r="L125" s="337"/>
      <c r="M125" s="337"/>
    </row>
    <row r="126" spans="1:13" ht="15" customHeight="1" x14ac:dyDescent="0.2">
      <c r="A126" s="459" t="s">
        <v>370</v>
      </c>
      <c r="B126" s="64"/>
      <c r="C126" s="63">
        <v>6010</v>
      </c>
      <c r="D126" s="441"/>
      <c r="E126" s="442"/>
      <c r="F126" s="31" t="str">
        <f>IFERROR(VLOOKUP($C126,[18]Nod!$A$3:$E$992,4,FALSE)," ")</f>
        <v>LSA34</v>
      </c>
      <c r="G126" s="31">
        <f>IFERROR(VLOOKUP($C126,[18]Nod!$A$3:$E$992,5,FALSE)," ")</f>
        <v>5</v>
      </c>
      <c r="K126" s="427"/>
      <c r="L126" s="337"/>
      <c r="M126" s="337"/>
    </row>
    <row r="127" spans="1:13" ht="15" customHeight="1" x14ac:dyDescent="0.2">
      <c r="A127" s="459" t="s">
        <v>371</v>
      </c>
      <c r="B127" s="64"/>
      <c r="C127" s="63">
        <v>6010</v>
      </c>
      <c r="D127" s="441"/>
      <c r="E127" s="442"/>
      <c r="F127" s="31" t="str">
        <f>IFERROR(VLOOKUP($C127,[18]Nod!$A$3:$E$992,4,FALSE)," ")</f>
        <v>LSA34</v>
      </c>
      <c r="G127" s="31">
        <f>IFERROR(VLOOKUP($C127,[18]Nod!$A$3:$E$992,5,FALSE)," ")</f>
        <v>5</v>
      </c>
      <c r="K127" s="427"/>
      <c r="L127" s="337"/>
      <c r="M127" s="337"/>
    </row>
    <row r="128" spans="1:13" ht="15" customHeight="1" x14ac:dyDescent="0.2">
      <c r="A128" s="459" t="s">
        <v>372</v>
      </c>
      <c r="B128" s="64"/>
      <c r="C128" s="63">
        <v>6010</v>
      </c>
      <c r="D128" s="441"/>
      <c r="E128" s="442"/>
      <c r="F128" s="31" t="str">
        <f>IFERROR(VLOOKUP($C128,[18]Nod!$A$3:$E$992,4,FALSE)," ")</f>
        <v>LSA34</v>
      </c>
      <c r="G128" s="31">
        <f>IFERROR(VLOOKUP($C128,[18]Nod!$A$3:$E$992,5,FALSE)," ")</f>
        <v>5</v>
      </c>
      <c r="K128" s="427"/>
      <c r="L128" s="337"/>
      <c r="M128" s="337"/>
    </row>
    <row r="129" spans="1:13" ht="15" customHeight="1" x14ac:dyDescent="0.2">
      <c r="A129" s="459" t="s">
        <v>373</v>
      </c>
      <c r="B129" s="64"/>
      <c r="C129" s="63">
        <v>6010</v>
      </c>
      <c r="D129" s="441"/>
      <c r="E129" s="442"/>
      <c r="F129" s="31" t="str">
        <f>IFERROR(VLOOKUP($C129,[18]Nod!$A$3:$E$992,4,FALSE)," ")</f>
        <v>LSA34</v>
      </c>
      <c r="G129" s="31">
        <f>IFERROR(VLOOKUP($C129,[18]Nod!$A$3:$E$992,5,FALSE)," ")</f>
        <v>5</v>
      </c>
      <c r="K129" s="427"/>
      <c r="L129" s="337"/>
      <c r="M129" s="337"/>
    </row>
    <row r="130" spans="1:13" ht="15" customHeight="1" x14ac:dyDescent="0.2">
      <c r="A130" s="478" t="s">
        <v>374</v>
      </c>
      <c r="B130" s="64"/>
      <c r="C130" s="63">
        <v>6010</v>
      </c>
      <c r="D130" s="441"/>
      <c r="E130" s="442"/>
      <c r="F130" s="31" t="str">
        <f>IFERROR(VLOOKUP($C130,[18]Nod!$A$3:$E$992,4,FALSE)," ")</f>
        <v>LSA34</v>
      </c>
      <c r="G130" s="31">
        <f>IFERROR(VLOOKUP($C130,[18]Nod!$A$3:$E$992,5,FALSE)," ")</f>
        <v>5</v>
      </c>
      <c r="K130" s="427"/>
      <c r="L130" s="337"/>
      <c r="M130" s="337"/>
    </row>
    <row r="131" spans="1:13" ht="15" customHeight="1" x14ac:dyDescent="0.2">
      <c r="A131" s="479" t="s">
        <v>375</v>
      </c>
      <c r="B131" s="64"/>
      <c r="C131" s="63">
        <v>6010</v>
      </c>
      <c r="D131" s="441"/>
      <c r="E131" s="442"/>
      <c r="F131" s="31" t="str">
        <f>IFERROR(VLOOKUP($C131,[18]Nod!$A$3:$E$992,4,FALSE)," ")</f>
        <v>LSA34</v>
      </c>
      <c r="G131" s="31">
        <f>IFERROR(VLOOKUP($C131,[18]Nod!$A$3:$E$992,5,FALSE)," ")</f>
        <v>5</v>
      </c>
      <c r="K131" s="427"/>
      <c r="L131" s="337"/>
      <c r="M131" s="337"/>
    </row>
    <row r="132" spans="1:13" ht="15" customHeight="1" x14ac:dyDescent="0.2">
      <c r="A132" s="440" t="s">
        <v>376</v>
      </c>
      <c r="B132" s="64"/>
      <c r="C132" s="63">
        <v>6010</v>
      </c>
      <c r="D132" s="441"/>
      <c r="E132" s="41"/>
      <c r="F132" s="31" t="str">
        <f>IFERROR(VLOOKUP($C132,[18]Nod!$A$3:$E$992,4,FALSE)," ")</f>
        <v>LSA34</v>
      </c>
      <c r="G132" s="31">
        <f>IFERROR(VLOOKUP($C132,[18]Nod!$A$3:$E$992,5,FALSE)," ")</f>
        <v>5</v>
      </c>
      <c r="K132" s="427"/>
      <c r="L132" s="337"/>
      <c r="M132" s="337"/>
    </row>
    <row r="133" spans="1:13" ht="15" customHeight="1" x14ac:dyDescent="0.2">
      <c r="A133" s="459" t="s">
        <v>377</v>
      </c>
      <c r="B133" s="64"/>
      <c r="C133" s="63">
        <v>6010</v>
      </c>
      <c r="D133" s="441"/>
      <c r="E133" s="41"/>
      <c r="F133" s="31" t="str">
        <f>IFERROR(VLOOKUP($C133,[18]Nod!$A$3:$E$992,4,FALSE)," ")</f>
        <v>LSA34</v>
      </c>
      <c r="G133" s="31">
        <f>IFERROR(VLOOKUP($C133,[18]Nod!$A$3:$E$992,5,FALSE)," ")</f>
        <v>5</v>
      </c>
      <c r="K133" s="427"/>
      <c r="L133" s="337"/>
      <c r="M133" s="337"/>
    </row>
    <row r="134" spans="1:13" ht="15" customHeight="1" x14ac:dyDescent="0.2">
      <c r="A134" s="440" t="s">
        <v>378</v>
      </c>
      <c r="B134" s="64"/>
      <c r="C134" s="63">
        <v>6010</v>
      </c>
      <c r="D134" s="441"/>
      <c r="E134" s="41"/>
      <c r="F134" s="31" t="str">
        <f>IFERROR(VLOOKUP($C134,[18]Nod!$A$3:$E$992,4,FALSE)," ")</f>
        <v>LSA34</v>
      </c>
      <c r="G134" s="31">
        <f>IFERROR(VLOOKUP($C134,[18]Nod!$A$3:$E$992,5,FALSE)," ")</f>
        <v>5</v>
      </c>
      <c r="K134" s="427"/>
      <c r="L134" s="337"/>
      <c r="M134" s="337"/>
    </row>
    <row r="135" spans="1:13" ht="15" customHeight="1" x14ac:dyDescent="0.2">
      <c r="A135" s="440" t="s">
        <v>379</v>
      </c>
      <c r="B135" s="64"/>
      <c r="C135" s="63">
        <v>6010</v>
      </c>
      <c r="D135" s="441"/>
      <c r="E135" s="41"/>
      <c r="F135" s="31" t="str">
        <f>IFERROR(VLOOKUP($C135,[18]Nod!$A$3:$E$992,4,FALSE)," ")</f>
        <v>LSA34</v>
      </c>
      <c r="G135" s="31">
        <f>IFERROR(VLOOKUP($C135,[18]Nod!$A$3:$E$992,5,FALSE)," ")</f>
        <v>5</v>
      </c>
      <c r="K135" s="427"/>
      <c r="L135" s="337"/>
      <c r="M135" s="337"/>
    </row>
    <row r="136" spans="1:13" ht="15" customHeight="1" x14ac:dyDescent="0.2">
      <c r="A136" s="440" t="s">
        <v>380</v>
      </c>
      <c r="B136" s="64"/>
      <c r="C136" s="63">
        <v>6010</v>
      </c>
      <c r="D136" s="441"/>
      <c r="E136" s="41"/>
      <c r="F136" s="31" t="str">
        <f>IFERROR(VLOOKUP($C136,[18]Nod!$A$3:$E$992,4,FALSE)," ")</f>
        <v>LSA34</v>
      </c>
      <c r="G136" s="31">
        <f>IFERROR(VLOOKUP($C136,[18]Nod!$A$3:$E$992,5,FALSE)," ")</f>
        <v>5</v>
      </c>
      <c r="K136" s="427"/>
      <c r="L136" s="337"/>
      <c r="M136" s="337"/>
    </row>
    <row r="137" spans="1:13" ht="15" customHeight="1" x14ac:dyDescent="0.2">
      <c r="A137" s="440" t="s">
        <v>381</v>
      </c>
      <c r="B137" s="64"/>
      <c r="C137" s="63">
        <v>6010</v>
      </c>
      <c r="D137" s="441"/>
      <c r="E137" s="41"/>
      <c r="F137" s="31" t="str">
        <f>IFERROR(VLOOKUP($C137,[18]Nod!$A$3:$E$992,4,FALSE)," ")</f>
        <v>LSA34</v>
      </c>
      <c r="G137" s="31">
        <f>IFERROR(VLOOKUP($C137,[18]Nod!$A$3:$E$992,5,FALSE)," ")</f>
        <v>5</v>
      </c>
      <c r="K137" s="427"/>
      <c r="L137" s="337"/>
      <c r="M137" s="337"/>
    </row>
    <row r="138" spans="1:13" ht="15" customHeight="1" x14ac:dyDescent="0.2">
      <c r="A138" s="440" t="s">
        <v>382</v>
      </c>
      <c r="B138" s="64"/>
      <c r="C138" s="63">
        <v>6010</v>
      </c>
      <c r="D138" s="441"/>
      <c r="E138" s="41"/>
      <c r="F138" s="31" t="str">
        <f>IFERROR(VLOOKUP($C138,[18]Nod!$A$3:$E$992,4,FALSE)," ")</f>
        <v>LSA34</v>
      </c>
      <c r="G138" s="31">
        <f>IFERROR(VLOOKUP($C138,[18]Nod!$A$3:$E$992,5,FALSE)," ")</f>
        <v>5</v>
      </c>
      <c r="K138" s="427"/>
      <c r="L138" s="337"/>
      <c r="M138" s="337"/>
    </row>
    <row r="139" spans="1:13" ht="15" customHeight="1" x14ac:dyDescent="0.2">
      <c r="A139" s="37"/>
      <c r="B139" s="64"/>
      <c r="C139" s="39"/>
      <c r="D139" s="469"/>
      <c r="E139" s="41"/>
      <c r="F139" s="31" t="str">
        <f>IFERROR(VLOOKUP($C139,[18]Nod!$A$3:$E$992,4,FALSE)," ")</f>
        <v xml:space="preserve"> </v>
      </c>
      <c r="G139" s="31" t="str">
        <f>IFERROR(VLOOKUP($C139,[18]Nod!$A$3:$E$992,5,FALSE)," ")</f>
        <v xml:space="preserve"> </v>
      </c>
      <c r="K139" s="427"/>
      <c r="L139" s="337"/>
      <c r="M139" s="337"/>
    </row>
    <row r="140" spans="1:13" ht="15" customHeight="1" x14ac:dyDescent="0.25">
      <c r="A140" s="49">
        <v>6</v>
      </c>
      <c r="B140" s="45"/>
      <c r="C140" s="46"/>
      <c r="D140" s="47">
        <f>SUM(D141:D146)</f>
        <v>147</v>
      </c>
      <c r="E140" s="436"/>
      <c r="F140" s="31" t="str">
        <f>IFERROR(VLOOKUP($C140,[18]Nod!$A$3:$E$992,4,FALSE)," ")</f>
        <v xml:space="preserve"> </v>
      </c>
      <c r="G140" s="31" t="str">
        <f>IFERROR(VLOOKUP($C140,[18]Nod!$A$3:$E$992,5,FALSE)," ")</f>
        <v xml:space="preserve"> </v>
      </c>
      <c r="K140" s="427"/>
      <c r="L140" s="337"/>
      <c r="M140" s="337"/>
    </row>
    <row r="141" spans="1:13" ht="15" customHeight="1" x14ac:dyDescent="0.25">
      <c r="A141" s="37" t="s">
        <v>179</v>
      </c>
      <c r="B141" s="3"/>
      <c r="C141" s="41">
        <v>6005</v>
      </c>
      <c r="D141" s="50">
        <v>147</v>
      </c>
      <c r="E141" s="442">
        <v>0</v>
      </c>
      <c r="F141" s="31" t="str">
        <f>IFERROR(VLOOKUP($C141,[18]Nod!$A$3:$E$992,4,FALSE)," ")</f>
        <v>CHO230</v>
      </c>
      <c r="G141" s="31">
        <f>IFERROR(VLOOKUP($C141,[18]Nod!$A$3:$E$992,5,FALSE)," ")</f>
        <v>6</v>
      </c>
      <c r="K141" s="427"/>
      <c r="L141" s="337"/>
      <c r="M141" s="337"/>
    </row>
    <row r="142" spans="1:13" ht="15" customHeight="1" x14ac:dyDescent="0.25">
      <c r="A142" s="37" t="s">
        <v>383</v>
      </c>
      <c r="B142" s="3"/>
      <c r="C142" s="56">
        <v>6005</v>
      </c>
      <c r="D142" s="480"/>
      <c r="E142" s="442">
        <v>0</v>
      </c>
      <c r="F142" s="31" t="str">
        <f>IFERROR(VLOOKUP($C142,[18]Nod!$A$3:$E$992,4,FALSE)," ")</f>
        <v>CHO230</v>
      </c>
      <c r="G142" s="31">
        <f>IFERROR(VLOOKUP($C142,[18]Nod!$A$3:$E$992,5,FALSE)," ")</f>
        <v>6</v>
      </c>
      <c r="K142" s="427"/>
      <c r="L142" s="337"/>
      <c r="M142" s="337"/>
    </row>
    <row r="143" spans="1:13" ht="15" customHeight="1" x14ac:dyDescent="0.25">
      <c r="A143" s="37" t="s">
        <v>384</v>
      </c>
      <c r="B143" s="3"/>
      <c r="C143" s="56">
        <v>6005</v>
      </c>
      <c r="D143" s="471"/>
      <c r="E143" s="442">
        <v>0</v>
      </c>
      <c r="F143" s="31" t="str">
        <f>IFERROR(VLOOKUP($C143,[18]Nod!$A$3:$E$992,4,FALSE)," ")</f>
        <v>CHO230</v>
      </c>
      <c r="G143" s="31">
        <f>IFERROR(VLOOKUP($C143,[18]Nod!$A$3:$E$992,5,FALSE)," ")</f>
        <v>6</v>
      </c>
      <c r="L143" s="337"/>
      <c r="M143" s="337"/>
    </row>
    <row r="144" spans="1:13" ht="15" customHeight="1" x14ac:dyDescent="0.25">
      <c r="A144" s="37" t="s">
        <v>385</v>
      </c>
      <c r="B144" s="3"/>
      <c r="C144" s="56">
        <v>6005</v>
      </c>
      <c r="D144" s="471"/>
      <c r="E144" s="442">
        <v>0</v>
      </c>
      <c r="F144" s="31" t="str">
        <f>IFERROR(VLOOKUP($C144,[18]Nod!$A$3:$E$992,4,FALSE)," ")</f>
        <v>CHO230</v>
      </c>
      <c r="G144" s="31">
        <f>IFERROR(VLOOKUP($C144,[18]Nod!$A$3:$E$992,5,FALSE)," ")</f>
        <v>6</v>
      </c>
      <c r="L144" s="337"/>
      <c r="M144" s="337"/>
    </row>
    <row r="145" spans="1:13" ht="15" customHeight="1" x14ac:dyDescent="0.25">
      <c r="A145" s="48" t="s">
        <v>386</v>
      </c>
      <c r="B145" s="3"/>
      <c r="C145" s="56">
        <v>6005</v>
      </c>
      <c r="D145" s="471"/>
      <c r="E145" s="442">
        <v>0</v>
      </c>
      <c r="F145" s="31" t="str">
        <f>IFERROR(VLOOKUP($C145,[18]Nod!$A$3:$E$992,4,FALSE)," ")</f>
        <v>CHO230</v>
      </c>
      <c r="G145" s="31">
        <f>IFERROR(VLOOKUP($C145,[18]Nod!$A$3:$E$992,5,FALSE)," ")</f>
        <v>6</v>
      </c>
      <c r="L145" s="337"/>
      <c r="M145" s="337"/>
    </row>
    <row r="146" spans="1:13" ht="15" customHeight="1" x14ac:dyDescent="0.25">
      <c r="A146" s="42" t="s">
        <v>37</v>
      </c>
      <c r="B146" s="3"/>
      <c r="C146" s="41"/>
      <c r="D146" s="41"/>
      <c r="E146" s="442"/>
      <c r="F146" s="31" t="str">
        <f>IFERROR(VLOOKUP($C146,[18]Nod!$A$3:$E$992,4,FALSE)," ")</f>
        <v xml:space="preserve"> </v>
      </c>
      <c r="G146" s="31" t="str">
        <f>IFERROR(VLOOKUP($C146,[18]Nod!$A$3:$E$992,5,FALSE)," ")</f>
        <v xml:space="preserve"> </v>
      </c>
      <c r="L146" s="337"/>
      <c r="M146" s="337"/>
    </row>
    <row r="147" spans="1:13" ht="15" customHeight="1" x14ac:dyDescent="0.25">
      <c r="A147" s="49">
        <v>7</v>
      </c>
      <c r="B147" s="45"/>
      <c r="C147" s="46"/>
      <c r="D147" s="47">
        <f>SUM(D148:D152)</f>
        <v>159.33000000000001</v>
      </c>
      <c r="E147" s="436"/>
      <c r="F147" s="31" t="str">
        <f>IFERROR(VLOOKUP($C147,[18]Nod!$A$3:$E$992,4,FALSE)," ")</f>
        <v xml:space="preserve"> </v>
      </c>
      <c r="G147" s="31" t="str">
        <f>IFERROR(VLOOKUP($C147,[18]Nod!$A$3:$E$992,5,FALSE)," ")</f>
        <v xml:space="preserve"> </v>
      </c>
      <c r="L147" s="337"/>
      <c r="M147" s="337"/>
    </row>
    <row r="148" spans="1:13" ht="15" customHeight="1" x14ac:dyDescent="0.25">
      <c r="A148" s="440" t="s">
        <v>387</v>
      </c>
      <c r="B148" s="3"/>
      <c r="C148" s="41">
        <v>6018</v>
      </c>
      <c r="D148" s="50">
        <v>97.7</v>
      </c>
      <c r="E148" s="442">
        <v>0</v>
      </c>
      <c r="F148" s="31" t="str">
        <f>IFERROR(VLOOKUP($C148,[18]Nod!$A$3:$E$992,4,FALSE)," ")</f>
        <v>CAC115</v>
      </c>
      <c r="G148" s="31">
        <f>IFERROR(VLOOKUP($C148,[18]Nod!$A$3:$E$992,5,FALSE)," ")</f>
        <v>7</v>
      </c>
      <c r="L148" s="337"/>
      <c r="M148" s="337"/>
    </row>
    <row r="149" spans="1:13" ht="15" customHeight="1" x14ac:dyDescent="0.25">
      <c r="A149" s="440" t="s">
        <v>185</v>
      </c>
      <c r="B149" s="3"/>
      <c r="C149" s="41">
        <v>6171</v>
      </c>
      <c r="D149" s="480">
        <v>53.53</v>
      </c>
      <c r="E149" s="442">
        <v>0</v>
      </c>
      <c r="F149" s="31" t="str">
        <f>IFERROR(VLOOKUP($C149,[18]Nod!$A$3:$E$992,4,FALSE)," ")</f>
        <v>PAC230</v>
      </c>
      <c r="G149" s="31">
        <f>IFERROR(VLOOKUP($C149,[18]Nod!$A$3:$E$992,5,FALSE)," ")</f>
        <v>7</v>
      </c>
      <c r="L149" s="337"/>
      <c r="M149" s="337"/>
    </row>
    <row r="150" spans="1:13" ht="15" customHeight="1" x14ac:dyDescent="0.25">
      <c r="A150" s="440" t="s">
        <v>388</v>
      </c>
      <c r="B150" s="3"/>
      <c r="C150" s="41">
        <v>6002</v>
      </c>
      <c r="D150" s="480">
        <v>8.1</v>
      </c>
      <c r="E150" s="442">
        <v>0</v>
      </c>
      <c r="F150" s="31" t="str">
        <f>IFERROR(VLOOKUP($C150,[18]Nod!$A$3:$E$992,4,FALSE)," ")</f>
        <v>PAN115</v>
      </c>
      <c r="G150" s="31">
        <f>IFERROR(VLOOKUP($C150,[18]Nod!$A$3:$E$992,5,FALSE)," ")</f>
        <v>7</v>
      </c>
      <c r="L150" s="337"/>
      <c r="M150" s="337"/>
    </row>
    <row r="151" spans="1:13" ht="15" customHeight="1" x14ac:dyDescent="0.25">
      <c r="A151" s="459" t="s">
        <v>389</v>
      </c>
      <c r="B151" s="3"/>
      <c r="C151" s="41">
        <v>6018</v>
      </c>
      <c r="D151" s="471"/>
      <c r="E151" s="41">
        <v>13</v>
      </c>
      <c r="F151" s="31" t="str">
        <f>IFERROR(VLOOKUP($C151,[18]Nod!$A$3:$E$992,4,FALSE)," ")</f>
        <v>CAC115</v>
      </c>
      <c r="G151" s="31">
        <f>IFERROR(VLOOKUP($C151,[18]Nod!$A$3:$E$992,5,FALSE)," ")</f>
        <v>7</v>
      </c>
      <c r="L151" s="337"/>
      <c r="M151" s="337"/>
    </row>
    <row r="152" spans="1:13" ht="15" customHeight="1" x14ac:dyDescent="0.25">
      <c r="A152" s="459" t="s">
        <v>390</v>
      </c>
      <c r="B152" s="3"/>
      <c r="C152" s="41">
        <v>6171</v>
      </c>
      <c r="D152" s="471"/>
      <c r="E152" s="41">
        <v>13</v>
      </c>
      <c r="F152" s="31" t="str">
        <f>IFERROR(VLOOKUP($C152,[18]Nod!$A$3:$E$992,4,FALSE)," ")</f>
        <v>PAC230</v>
      </c>
      <c r="G152" s="31">
        <f>IFERROR(VLOOKUP($C152,[18]Nod!$A$3:$E$992,5,FALSE)," ")</f>
        <v>7</v>
      </c>
      <c r="L152" s="337"/>
      <c r="M152" s="337"/>
    </row>
    <row r="153" spans="1:13" ht="15" customHeight="1" x14ac:dyDescent="0.25">
      <c r="A153" s="65"/>
      <c r="B153" s="43"/>
      <c r="C153" s="44"/>
      <c r="D153" s="44"/>
      <c r="E153" s="481"/>
      <c r="F153" s="31" t="str">
        <f>IFERROR(VLOOKUP($C153,[18]Nod!$A$3:$E$992,4,FALSE)," ")</f>
        <v xml:space="preserve"> </v>
      </c>
      <c r="G153" s="31" t="str">
        <f>IFERROR(VLOOKUP($C153,[18]Nod!$A$3:$E$992,5,FALSE)," ")</f>
        <v xml:space="preserve"> </v>
      </c>
      <c r="L153" s="337"/>
      <c r="M153" s="337"/>
    </row>
    <row r="154" spans="1:13" ht="15" customHeight="1" x14ac:dyDescent="0.25">
      <c r="A154" s="36">
        <v>8</v>
      </c>
      <c r="B154" s="66"/>
      <c r="C154" s="35"/>
      <c r="D154" s="76">
        <f>SUM(D155:D156)</f>
        <v>260</v>
      </c>
      <c r="E154" s="463"/>
      <c r="F154" s="31" t="str">
        <f>IFERROR(VLOOKUP($C154,[18]Nod!$A$3:$E$992,4,FALSE)," ")</f>
        <v xml:space="preserve"> </v>
      </c>
      <c r="G154" s="31" t="str">
        <f>IFERROR(VLOOKUP($C154,[18]Nod!$A$3:$E$992,5,FALSE)," ")</f>
        <v xml:space="preserve"> </v>
      </c>
      <c r="L154" s="337"/>
      <c r="M154" s="337"/>
    </row>
    <row r="155" spans="1:13" ht="15" customHeight="1" x14ac:dyDescent="0.25">
      <c r="A155" s="53" t="s">
        <v>189</v>
      </c>
      <c r="B155" s="3"/>
      <c r="C155" s="41">
        <v>6100</v>
      </c>
      <c r="D155" s="50">
        <v>260</v>
      </c>
      <c r="E155" s="442">
        <v>0</v>
      </c>
      <c r="F155" s="31" t="str">
        <f>IFERROR(VLOOKUP($C155,[18]Nod!$A$3:$E$992,4,FALSE)," ")</f>
        <v>BAY230</v>
      </c>
      <c r="G155" s="31">
        <f>IFERROR(VLOOKUP($C155,[18]Nod!$A$3:$E$992,5,FALSE)," ")</f>
        <v>8</v>
      </c>
      <c r="L155" s="337"/>
      <c r="M155" s="337"/>
    </row>
    <row r="156" spans="1:13" ht="15" customHeight="1" x14ac:dyDescent="0.25">
      <c r="A156" s="42" t="s">
        <v>37</v>
      </c>
      <c r="B156" s="43"/>
      <c r="C156" s="44"/>
      <c r="D156" s="54"/>
      <c r="E156" s="461"/>
      <c r="F156" s="31" t="str">
        <f>IFERROR(VLOOKUP($C156,[18]Nod!$A$3:$E$992,4,FALSE)," ")</f>
        <v xml:space="preserve"> </v>
      </c>
      <c r="G156" s="31" t="str">
        <f>IFERROR(VLOOKUP($C156,[18]Nod!$A$3:$E$992,5,FALSE)," ")</f>
        <v xml:space="preserve"> </v>
      </c>
      <c r="L156" s="337"/>
      <c r="M156" s="337"/>
    </row>
    <row r="157" spans="1:13" ht="15" customHeight="1" x14ac:dyDescent="0.25">
      <c r="A157" s="49">
        <v>9</v>
      </c>
      <c r="B157" s="67"/>
      <c r="C157" s="68"/>
      <c r="D157" s="76">
        <f>SUM(D158:D164)</f>
        <v>740.25</v>
      </c>
      <c r="E157" s="463"/>
      <c r="F157" s="31" t="str">
        <f>IFERROR(VLOOKUP($C157,[18]Nod!$A$3:$E$992,4,FALSE)," ")</f>
        <v xml:space="preserve"> </v>
      </c>
      <c r="G157" s="31" t="str">
        <f>IFERROR(VLOOKUP($C157,[18]Nod!$A$3:$E$992,5,FALSE)," ")</f>
        <v xml:space="preserve"> </v>
      </c>
      <c r="L157" s="337"/>
      <c r="M157" s="337"/>
    </row>
    <row r="158" spans="1:13" ht="15" customHeight="1" x14ac:dyDescent="0.25">
      <c r="A158" s="37" t="s">
        <v>190</v>
      </c>
      <c r="B158" s="3"/>
      <c r="C158" s="41">
        <v>6059</v>
      </c>
      <c r="D158" s="441">
        <v>68</v>
      </c>
      <c r="E158" s="442">
        <v>0</v>
      </c>
      <c r="F158" s="31" t="str">
        <f>IFERROR(VLOOKUP($C158,[18]Nod!$A$3:$E$992,4,FALSE)," ")</f>
        <v>LM1115</v>
      </c>
      <c r="G158" s="31">
        <f>IFERROR(VLOOKUP($C158,[18]Nod!$A$3:$E$992,5,FALSE)," ")</f>
        <v>9</v>
      </c>
      <c r="L158" s="337"/>
      <c r="M158" s="337"/>
    </row>
    <row r="159" spans="1:13" ht="15" customHeight="1" x14ac:dyDescent="0.25">
      <c r="A159" s="37" t="s">
        <v>191</v>
      </c>
      <c r="B159" s="3"/>
      <c r="C159" s="41">
        <v>6059</v>
      </c>
      <c r="D159" s="441">
        <v>87</v>
      </c>
      <c r="E159" s="442">
        <v>0</v>
      </c>
      <c r="F159" s="31" t="str">
        <f>IFERROR(VLOOKUP($C159,[18]Nod!$A$3:$E$992,4,FALSE)," ")</f>
        <v>LM1115</v>
      </c>
      <c r="G159" s="31">
        <f>IFERROR(VLOOKUP($C159,[18]Nod!$A$3:$E$992,5,FALSE)," ")</f>
        <v>9</v>
      </c>
      <c r="L159" s="337"/>
      <c r="M159" s="337"/>
    </row>
    <row r="160" spans="1:13" ht="15" customHeight="1" x14ac:dyDescent="0.25">
      <c r="A160" s="37" t="s">
        <v>192</v>
      </c>
      <c r="B160" s="3"/>
      <c r="C160" s="41">
        <v>6059</v>
      </c>
      <c r="D160" s="441">
        <v>150</v>
      </c>
      <c r="E160" s="442">
        <v>0</v>
      </c>
      <c r="F160" s="31" t="str">
        <f>IFERROR(VLOOKUP($C160,[18]Nod!$A$3:$E$992,4,FALSE)," ")</f>
        <v>LM1115</v>
      </c>
      <c r="G160" s="31">
        <f>IFERROR(VLOOKUP($C160,[18]Nod!$A$3:$E$992,5,FALSE)," ")</f>
        <v>9</v>
      </c>
      <c r="L160" s="337"/>
      <c r="M160" s="337"/>
    </row>
    <row r="161" spans="1:13" ht="15" customHeight="1" x14ac:dyDescent="0.25">
      <c r="A161" s="60" t="s">
        <v>193</v>
      </c>
      <c r="B161" s="3"/>
      <c r="C161" s="41">
        <v>6173</v>
      </c>
      <c r="D161" s="441">
        <v>381</v>
      </c>
      <c r="E161" s="442">
        <v>0</v>
      </c>
      <c r="F161" s="31" t="str">
        <f>IFERROR(VLOOKUP($C161,[18]Nod!$A$3:$E$992,4,FALSE)," ")</f>
        <v>STR115</v>
      </c>
      <c r="G161" s="31">
        <f>IFERROR(VLOOKUP($C161,[18]Nod!$A$3:$E$992,5,FALSE)," ")</f>
        <v>9</v>
      </c>
      <c r="L161" s="337"/>
      <c r="M161" s="337"/>
    </row>
    <row r="162" spans="1:13" ht="15" customHeight="1" x14ac:dyDescent="0.25">
      <c r="A162" s="60" t="s">
        <v>194</v>
      </c>
      <c r="B162" s="3"/>
      <c r="C162" s="41">
        <v>6173</v>
      </c>
      <c r="D162" s="441">
        <v>5.05</v>
      </c>
      <c r="E162" s="442">
        <v>0</v>
      </c>
      <c r="F162" s="31" t="str">
        <f>IFERROR(VLOOKUP($C162,[18]Nod!$A$3:$E$992,4,FALSE)," ")</f>
        <v>STR115</v>
      </c>
      <c r="G162" s="31">
        <f>IFERROR(VLOOKUP($C162,[18]Nod!$A$3:$E$992,5,FALSE)," ")</f>
        <v>9</v>
      </c>
      <c r="L162" s="337"/>
      <c r="M162" s="337"/>
    </row>
    <row r="163" spans="1:13" ht="15" customHeight="1" x14ac:dyDescent="0.25">
      <c r="A163" s="60" t="s">
        <v>391</v>
      </c>
      <c r="B163" s="3"/>
      <c r="C163" s="41">
        <v>6059</v>
      </c>
      <c r="D163" s="441">
        <v>49.2</v>
      </c>
      <c r="E163" s="442">
        <v>0</v>
      </c>
      <c r="F163" s="31" t="str">
        <f>IFERROR(VLOOKUP($C163,[18]Nod!$A$3:$E$992,4,FALSE)," ")</f>
        <v>LM1115</v>
      </c>
      <c r="G163" s="31">
        <f>IFERROR(VLOOKUP($C163,[18]Nod!$A$3:$E$992,5,FALSE)," ")</f>
        <v>9</v>
      </c>
      <c r="L163" s="337"/>
      <c r="M163" s="337"/>
    </row>
    <row r="164" spans="1:13" ht="15" customHeight="1" x14ac:dyDescent="0.2">
      <c r="A164" s="48" t="s">
        <v>392</v>
      </c>
      <c r="B164" s="3"/>
      <c r="C164" s="41">
        <v>6173</v>
      </c>
      <c r="D164" s="58"/>
      <c r="E164" s="442"/>
      <c r="F164" s="31" t="str">
        <f>IFERROR(VLOOKUP($C164,[18]Nod!$A$3:$E$992,4,FALSE)," ")</f>
        <v>STR115</v>
      </c>
      <c r="G164" s="31">
        <f>IFERROR(VLOOKUP($C164,[18]Nod!$A$3:$E$992,5,FALSE)," ")</f>
        <v>9</v>
      </c>
      <c r="L164" s="337"/>
      <c r="M164" s="337"/>
    </row>
    <row r="165" spans="1:13" ht="15" customHeight="1" x14ac:dyDescent="0.25">
      <c r="A165" s="42" t="s">
        <v>37</v>
      </c>
      <c r="B165" s="3"/>
      <c r="C165" s="41"/>
      <c r="D165" s="41"/>
      <c r="E165" s="442"/>
      <c r="F165" s="31" t="str">
        <f>IFERROR(VLOOKUP($C165,[18]Nod!$A$3:$E$992,4,FALSE)," ")</f>
        <v xml:space="preserve"> </v>
      </c>
      <c r="G165" s="31" t="str">
        <f>IFERROR(VLOOKUP($C165,[18]Nod!$A$3:$E$992,5,FALSE)," ")</f>
        <v xml:space="preserve"> </v>
      </c>
      <c r="L165" s="337"/>
      <c r="M165" s="337"/>
    </row>
    <row r="166" spans="1:13" ht="15" customHeight="1" x14ac:dyDescent="0.25">
      <c r="A166" s="49">
        <v>10</v>
      </c>
      <c r="B166" s="67"/>
      <c r="C166" s="69"/>
      <c r="D166" s="47">
        <f>SUM(D167:D168)</f>
        <v>252.17</v>
      </c>
      <c r="E166" s="436"/>
      <c r="F166" s="31" t="str">
        <f>IFERROR(VLOOKUP($C166,[18]Nod!$A$3:$E$992,4,FALSE)," ")</f>
        <v xml:space="preserve"> </v>
      </c>
      <c r="G166" s="31" t="str">
        <f>IFERROR(VLOOKUP($C166,[18]Nod!$A$3:$E$992,5,FALSE)," ")</f>
        <v xml:space="preserve"> </v>
      </c>
      <c r="L166" s="337"/>
      <c r="M166" s="337"/>
    </row>
    <row r="167" spans="1:13" ht="15" customHeight="1" x14ac:dyDescent="0.25">
      <c r="A167" s="37" t="s">
        <v>197</v>
      </c>
      <c r="B167" s="3"/>
      <c r="C167" s="41">
        <v>6263</v>
      </c>
      <c r="D167" s="50">
        <v>222.17</v>
      </c>
      <c r="E167" s="442">
        <v>0</v>
      </c>
      <c r="F167" s="31" t="str">
        <f>IFERROR(VLOOKUP($C167,[18]Nod!$A$3:$E$992,4,FALSE)," ")</f>
        <v>ESP230</v>
      </c>
      <c r="G167" s="31">
        <f>IFERROR(VLOOKUP($C167,[18]Nod!$A$3:$E$992,5,FALSE)," ")</f>
        <v>10</v>
      </c>
      <c r="L167" s="337"/>
      <c r="M167" s="337"/>
    </row>
    <row r="168" spans="1:13" ht="15" customHeight="1" x14ac:dyDescent="0.25">
      <c r="A168" s="37" t="s">
        <v>198</v>
      </c>
      <c r="B168" s="3"/>
      <c r="C168" s="41">
        <v>6261</v>
      </c>
      <c r="D168" s="50">
        <v>30</v>
      </c>
      <c r="E168" s="442">
        <v>0</v>
      </c>
      <c r="F168" s="31" t="str">
        <f>IFERROR(VLOOKUP($C168,[18]Nod!$A$3:$E$992,4,FALSE)," ")</f>
        <v>CHA115</v>
      </c>
      <c r="G168" s="31">
        <f>IFERROR(VLOOKUP($C168,[18]Nod!$A$3:$E$992,5,FALSE)," ")</f>
        <v>10</v>
      </c>
      <c r="L168" s="337"/>
      <c r="M168" s="337"/>
    </row>
    <row r="169" spans="1:13" ht="15" customHeight="1" x14ac:dyDescent="0.25">
      <c r="A169" s="65" t="s">
        <v>37</v>
      </c>
      <c r="B169" s="43"/>
      <c r="C169" s="44"/>
      <c r="D169" s="54"/>
      <c r="E169" s="461"/>
      <c r="F169" s="3"/>
      <c r="G169" s="3"/>
      <c r="L169" s="337"/>
      <c r="M169" s="337"/>
    </row>
    <row r="170" spans="1:13" ht="15" customHeight="1" x14ac:dyDescent="0.25">
      <c r="F170" s="337"/>
      <c r="G170" s="337"/>
      <c r="L170" s="337"/>
      <c r="M170" s="337"/>
    </row>
    <row r="171" spans="1:13" ht="15" customHeight="1" x14ac:dyDescent="0.25">
      <c r="F171" s="337"/>
      <c r="G171" s="337"/>
      <c r="L171" s="337"/>
      <c r="M171" s="337"/>
    </row>
    <row r="172" spans="1:13" ht="15" customHeight="1" x14ac:dyDescent="0.25">
      <c r="F172" s="337"/>
      <c r="G172" s="337"/>
      <c r="L172" s="337"/>
      <c r="M172" s="337"/>
    </row>
    <row r="173" spans="1:13" ht="15" customHeight="1" x14ac:dyDescent="0.25">
      <c r="F173" s="337"/>
      <c r="G173" s="337"/>
      <c r="L173" s="337"/>
      <c r="M173" s="337"/>
    </row>
    <row r="174" spans="1:13" ht="15" customHeight="1" x14ac:dyDescent="0.25">
      <c r="F174" s="337"/>
      <c r="G174" s="337"/>
      <c r="L174" s="337"/>
      <c r="M174" s="337"/>
    </row>
    <row r="175" spans="1:13" ht="15" customHeight="1" x14ac:dyDescent="0.25">
      <c r="F175" s="337"/>
      <c r="G175" s="337"/>
      <c r="L175" s="337"/>
      <c r="M175" s="337"/>
    </row>
    <row r="176" spans="1:13" ht="15" customHeight="1" x14ac:dyDescent="0.25">
      <c r="F176" s="337"/>
      <c r="G176" s="337"/>
      <c r="L176" s="337"/>
      <c r="M176" s="337"/>
    </row>
    <row r="177" spans="6:13" ht="15" customHeight="1" x14ac:dyDescent="0.25">
      <c r="F177" s="337"/>
      <c r="G177" s="337"/>
      <c r="L177" s="337"/>
      <c r="M177" s="337"/>
    </row>
    <row r="178" spans="6:13" ht="15" customHeight="1" x14ac:dyDescent="0.25">
      <c r="F178" s="337"/>
      <c r="G178" s="337"/>
      <c r="L178" s="337"/>
      <c r="M178" s="337"/>
    </row>
    <row r="179" spans="6:13" ht="15" customHeight="1" x14ac:dyDescent="0.25">
      <c r="F179" s="337"/>
      <c r="G179" s="337"/>
      <c r="L179" s="337"/>
      <c r="M179" s="337"/>
    </row>
    <row r="180" spans="6:13" ht="15" customHeight="1" x14ac:dyDescent="0.25">
      <c r="F180" s="337"/>
      <c r="G180" s="337"/>
      <c r="L180" s="337"/>
      <c r="M180" s="337"/>
    </row>
    <row r="181" spans="6:13" ht="15" customHeight="1" x14ac:dyDescent="0.25">
      <c r="F181" s="337"/>
      <c r="G181" s="337"/>
      <c r="L181" s="337"/>
      <c r="M181" s="337"/>
    </row>
    <row r="182" spans="6:13" ht="15" customHeight="1" x14ac:dyDescent="0.25">
      <c r="F182" s="337"/>
      <c r="G182" s="337"/>
      <c r="L182" s="337"/>
      <c r="M182" s="337"/>
    </row>
    <row r="183" spans="6:13" ht="15" customHeight="1" x14ac:dyDescent="0.25">
      <c r="F183" s="337"/>
      <c r="G183" s="337"/>
      <c r="L183" s="337"/>
      <c r="M183" s="337"/>
    </row>
    <row r="184" spans="6:13" ht="15" customHeight="1" x14ac:dyDescent="0.25">
      <c r="F184" s="337"/>
      <c r="G184" s="337"/>
      <c r="L184" s="337"/>
      <c r="M184" s="337"/>
    </row>
    <row r="185" spans="6:13" ht="15" customHeight="1" x14ac:dyDescent="0.25">
      <c r="F185" s="337"/>
      <c r="G185" s="337"/>
      <c r="L185" s="337"/>
      <c r="M185" s="337"/>
    </row>
    <row r="186" spans="6:13" ht="15" customHeight="1" x14ac:dyDescent="0.25">
      <c r="F186" s="337"/>
      <c r="G186" s="337"/>
      <c r="L186" s="337"/>
      <c r="M186" s="337"/>
    </row>
    <row r="187" spans="6:13" ht="15" customHeight="1" x14ac:dyDescent="0.25">
      <c r="F187" s="337"/>
      <c r="G187" s="337"/>
      <c r="L187" s="337"/>
      <c r="M187" s="337"/>
    </row>
    <row r="188" spans="6:13" ht="15" customHeight="1" x14ac:dyDescent="0.25">
      <c r="F188" s="337"/>
      <c r="G188" s="337"/>
      <c r="L188" s="337"/>
      <c r="M188" s="337"/>
    </row>
    <row r="189" spans="6:13" ht="15" customHeight="1" x14ac:dyDescent="0.25">
      <c r="F189" s="337"/>
      <c r="G189" s="337"/>
      <c r="L189" s="337"/>
      <c r="M189" s="337"/>
    </row>
    <row r="190" spans="6:13" ht="15" customHeight="1" x14ac:dyDescent="0.25">
      <c r="F190" s="337"/>
      <c r="G190" s="337"/>
      <c r="L190" s="337"/>
      <c r="M190" s="337"/>
    </row>
    <row r="191" spans="6:13" ht="15" customHeight="1" x14ac:dyDescent="0.25">
      <c r="F191" s="337"/>
      <c r="G191" s="337"/>
      <c r="L191" s="337"/>
      <c r="M191" s="337"/>
    </row>
    <row r="192" spans="6:13" ht="15" customHeight="1" x14ac:dyDescent="0.25">
      <c r="F192" s="337"/>
      <c r="G192" s="337"/>
      <c r="L192" s="337"/>
      <c r="M192" s="337"/>
    </row>
    <row r="193" spans="6:13" ht="15" customHeight="1" x14ac:dyDescent="0.25">
      <c r="F193" s="337"/>
      <c r="G193" s="337"/>
      <c r="L193" s="337"/>
      <c r="M193" s="337"/>
    </row>
    <row r="194" spans="6:13" ht="15" customHeight="1" x14ac:dyDescent="0.25">
      <c r="F194" s="337"/>
      <c r="G194" s="337"/>
      <c r="L194" s="337"/>
      <c r="M194" s="337"/>
    </row>
    <row r="195" spans="6:13" ht="15" customHeight="1" x14ac:dyDescent="0.25">
      <c r="F195" s="337"/>
      <c r="G195" s="337"/>
      <c r="L195" s="337"/>
      <c r="M195" s="337"/>
    </row>
    <row r="196" spans="6:13" ht="15" customHeight="1" x14ac:dyDescent="0.25">
      <c r="L196" s="337"/>
      <c r="M196" s="337"/>
    </row>
    <row r="197" spans="6:13" ht="15" customHeight="1" x14ac:dyDescent="0.25">
      <c r="L197" s="337"/>
      <c r="M197" s="337"/>
    </row>
    <row r="198" spans="6:13" ht="15" customHeight="1" x14ac:dyDescent="0.25">
      <c r="L198" s="337"/>
      <c r="M198" s="337"/>
    </row>
  </sheetData>
  <mergeCells count="1">
    <mergeCell ref="A9:L9"/>
  </mergeCells>
  <conditionalFormatting sqref="B11:L12">
    <cfRule type="cellIs" dxfId="95" priority="41" operator="equal">
      <formula>0</formula>
    </cfRule>
  </conditionalFormatting>
  <conditionalFormatting sqref="D18:D29">
    <cfRule type="cellIs" dxfId="94" priority="20" operator="equal">
      <formula>0</formula>
    </cfRule>
  </conditionalFormatting>
  <conditionalFormatting sqref="D54:D81">
    <cfRule type="cellIs" dxfId="93" priority="16" operator="equal">
      <formula>0</formula>
    </cfRule>
  </conditionalFormatting>
  <conditionalFormatting sqref="D84">
    <cfRule type="cellIs" dxfId="92" priority="1" operator="equal">
      <formula>0</formula>
    </cfRule>
  </conditionalFormatting>
  <conditionalFormatting sqref="D90">
    <cfRule type="cellIs" dxfId="91" priority="3" operator="equal">
      <formula>0</formula>
    </cfRule>
  </conditionalFormatting>
  <conditionalFormatting sqref="D94:D127">
    <cfRule type="cellIs" dxfId="90" priority="4" operator="equal">
      <formula>0</formula>
    </cfRule>
  </conditionalFormatting>
  <conditionalFormatting sqref="D129:D138">
    <cfRule type="cellIs" dxfId="89" priority="2" operator="equal">
      <formula>0</formula>
    </cfRule>
  </conditionalFormatting>
  <conditionalFormatting sqref="D141:D145">
    <cfRule type="cellIs" dxfId="88" priority="8" operator="equal">
      <formula>0</formula>
    </cfRule>
  </conditionalFormatting>
  <conditionalFormatting sqref="D148:D152">
    <cfRule type="cellIs" dxfId="87" priority="7" operator="equal">
      <formula>0</formula>
    </cfRule>
  </conditionalFormatting>
  <conditionalFormatting sqref="D38:E43 D46:E51 E153 E158:E164 D167:E169">
    <cfRule type="cellIs" dxfId="86" priority="38" operator="equal">
      <formula>0</formula>
    </cfRule>
  </conditionalFormatting>
  <conditionalFormatting sqref="D155:E156">
    <cfRule type="cellIs" dxfId="85" priority="32" operator="equal">
      <formula>0</formula>
    </cfRule>
  </conditionalFormatting>
  <conditionalFormatting sqref="E18:E35">
    <cfRule type="cellIs" dxfId="84" priority="6" operator="equal">
      <formula>0</formula>
    </cfRule>
  </conditionalFormatting>
  <conditionalFormatting sqref="E54:E91 E141:E146">
    <cfRule type="cellIs" dxfId="83" priority="37" operator="equal">
      <formula>0</formula>
    </cfRule>
  </conditionalFormatting>
  <conditionalFormatting sqref="E94:E131">
    <cfRule type="cellIs" dxfId="82" priority="31" operator="equal">
      <formula>0</formula>
    </cfRule>
  </conditionalFormatting>
  <conditionalFormatting sqref="E148:E150">
    <cfRule type="cellIs" dxfId="81" priority="35" operator="equal">
      <formula>0</formula>
    </cfRule>
  </conditionalFormatting>
  <conditionalFormatting sqref="K106:K142">
    <cfRule type="cellIs" dxfId="80" priority="42" operator="equal">
      <formula>0</formula>
    </cfRule>
  </conditionalFormatting>
  <conditionalFormatting sqref="M11:M12">
    <cfRule type="cellIs" dxfId="79" priority="39" stopIfTrue="1" operator="notEqual">
      <formula>L11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5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96"/>
  <sheetViews>
    <sheetView topLeftCell="A133" zoomScale="70" zoomScaleNormal="70" workbookViewId="0">
      <selection activeCell="D118" sqref="D118"/>
    </sheetView>
  </sheetViews>
  <sheetFormatPr baseColWidth="10" defaultColWidth="8.7109375" defaultRowHeight="15" customHeight="1" x14ac:dyDescent="0.25"/>
  <cols>
    <col min="1" max="1" width="43.7109375" style="38" customWidth="1"/>
    <col min="2" max="2" width="12.5703125" style="38" customWidth="1"/>
    <col min="3" max="3" width="8.7109375" style="38"/>
    <col min="4" max="4" width="11.42578125" style="38" customWidth="1"/>
    <col min="5" max="5" width="9.42578125" style="38" customWidth="1"/>
    <col min="6" max="6" width="9.7109375" style="38" bestFit="1" customWidth="1"/>
    <col min="7" max="7" width="8.7109375" style="38"/>
    <col min="8" max="8" width="25" style="38" customWidth="1"/>
    <col min="9" max="9" width="9.5703125" style="38" customWidth="1"/>
    <col min="10" max="11" width="8.7109375" style="38"/>
    <col min="12" max="12" width="11.28515625" style="38" bestFit="1" customWidth="1"/>
    <col min="13" max="13" width="12.140625" style="38" customWidth="1"/>
    <col min="14" max="14" width="9.7109375" style="38" customWidth="1"/>
    <col min="15" max="15" width="26.5703125" style="38" bestFit="1" customWidth="1"/>
    <col min="16" max="16" width="29.28515625" style="38" bestFit="1" customWidth="1"/>
    <col min="17" max="26" width="6.7109375" style="38" customWidth="1"/>
    <col min="27" max="256" width="8.7109375" style="38"/>
    <col min="257" max="257" width="43.7109375" style="38" customWidth="1"/>
    <col min="258" max="258" width="12.5703125" style="38" customWidth="1"/>
    <col min="259" max="259" width="8.7109375" style="38"/>
    <col min="260" max="260" width="11.42578125" style="38" customWidth="1"/>
    <col min="261" max="261" width="9.42578125" style="38" customWidth="1"/>
    <col min="262" max="262" width="9.7109375" style="38" bestFit="1" customWidth="1"/>
    <col min="263" max="263" width="8.7109375" style="38"/>
    <col min="264" max="264" width="25" style="38" customWidth="1"/>
    <col min="265" max="265" width="9.5703125" style="38" customWidth="1"/>
    <col min="266" max="267" width="8.7109375" style="38"/>
    <col min="268" max="268" width="11.28515625" style="38" bestFit="1" customWidth="1"/>
    <col min="269" max="269" width="12.140625" style="38" customWidth="1"/>
    <col min="270" max="270" width="9.7109375" style="38" customWidth="1"/>
    <col min="271" max="271" width="26.5703125" style="38" bestFit="1" customWidth="1"/>
    <col min="272" max="272" width="29.28515625" style="38" bestFit="1" customWidth="1"/>
    <col min="273" max="282" width="6.7109375" style="38" customWidth="1"/>
    <col min="283" max="512" width="8.7109375" style="38"/>
    <col min="513" max="513" width="43.7109375" style="38" customWidth="1"/>
    <col min="514" max="514" width="12.5703125" style="38" customWidth="1"/>
    <col min="515" max="515" width="8.7109375" style="38"/>
    <col min="516" max="516" width="11.42578125" style="38" customWidth="1"/>
    <col min="517" max="517" width="9.42578125" style="38" customWidth="1"/>
    <col min="518" max="518" width="9.7109375" style="38" bestFit="1" customWidth="1"/>
    <col min="519" max="519" width="8.7109375" style="38"/>
    <col min="520" max="520" width="25" style="38" customWidth="1"/>
    <col min="521" max="521" width="9.5703125" style="38" customWidth="1"/>
    <col min="522" max="523" width="8.7109375" style="38"/>
    <col min="524" max="524" width="11.28515625" style="38" bestFit="1" customWidth="1"/>
    <col min="525" max="525" width="12.140625" style="38" customWidth="1"/>
    <col min="526" max="526" width="9.7109375" style="38" customWidth="1"/>
    <col min="527" max="527" width="26.5703125" style="38" bestFit="1" customWidth="1"/>
    <col min="528" max="528" width="29.28515625" style="38" bestFit="1" customWidth="1"/>
    <col min="529" max="538" width="6.7109375" style="38" customWidth="1"/>
    <col min="539" max="768" width="8.7109375" style="38"/>
    <col min="769" max="769" width="43.7109375" style="38" customWidth="1"/>
    <col min="770" max="770" width="12.5703125" style="38" customWidth="1"/>
    <col min="771" max="771" width="8.7109375" style="38"/>
    <col min="772" max="772" width="11.42578125" style="38" customWidth="1"/>
    <col min="773" max="773" width="9.42578125" style="38" customWidth="1"/>
    <col min="774" max="774" width="9.7109375" style="38" bestFit="1" customWidth="1"/>
    <col min="775" max="775" width="8.7109375" style="38"/>
    <col min="776" max="776" width="25" style="38" customWidth="1"/>
    <col min="777" max="777" width="9.5703125" style="38" customWidth="1"/>
    <col min="778" max="779" width="8.7109375" style="38"/>
    <col min="780" max="780" width="11.28515625" style="38" bestFit="1" customWidth="1"/>
    <col min="781" max="781" width="12.140625" style="38" customWidth="1"/>
    <col min="782" max="782" width="9.7109375" style="38" customWidth="1"/>
    <col min="783" max="783" width="26.5703125" style="38" bestFit="1" customWidth="1"/>
    <col min="784" max="784" width="29.28515625" style="38" bestFit="1" customWidth="1"/>
    <col min="785" max="794" width="6.7109375" style="38" customWidth="1"/>
    <col min="795" max="1024" width="8.7109375" style="38"/>
    <col min="1025" max="1025" width="43.7109375" style="38" customWidth="1"/>
    <col min="1026" max="1026" width="12.5703125" style="38" customWidth="1"/>
    <col min="1027" max="1027" width="8.7109375" style="38"/>
    <col min="1028" max="1028" width="11.42578125" style="38" customWidth="1"/>
    <col min="1029" max="1029" width="9.42578125" style="38" customWidth="1"/>
    <col min="1030" max="1030" width="9.7109375" style="38" bestFit="1" customWidth="1"/>
    <col min="1031" max="1031" width="8.7109375" style="38"/>
    <col min="1032" max="1032" width="25" style="38" customWidth="1"/>
    <col min="1033" max="1033" width="9.5703125" style="38" customWidth="1"/>
    <col min="1034" max="1035" width="8.7109375" style="38"/>
    <col min="1036" max="1036" width="11.28515625" style="38" bestFit="1" customWidth="1"/>
    <col min="1037" max="1037" width="12.140625" style="38" customWidth="1"/>
    <col min="1038" max="1038" width="9.7109375" style="38" customWidth="1"/>
    <col min="1039" max="1039" width="26.5703125" style="38" bestFit="1" customWidth="1"/>
    <col min="1040" max="1040" width="29.28515625" style="38" bestFit="1" customWidth="1"/>
    <col min="1041" max="1050" width="6.7109375" style="38" customWidth="1"/>
    <col min="1051" max="1280" width="8.7109375" style="38"/>
    <col min="1281" max="1281" width="43.7109375" style="38" customWidth="1"/>
    <col min="1282" max="1282" width="12.5703125" style="38" customWidth="1"/>
    <col min="1283" max="1283" width="8.7109375" style="38"/>
    <col min="1284" max="1284" width="11.42578125" style="38" customWidth="1"/>
    <col min="1285" max="1285" width="9.42578125" style="38" customWidth="1"/>
    <col min="1286" max="1286" width="9.7109375" style="38" bestFit="1" customWidth="1"/>
    <col min="1287" max="1287" width="8.7109375" style="38"/>
    <col min="1288" max="1288" width="25" style="38" customWidth="1"/>
    <col min="1289" max="1289" width="9.5703125" style="38" customWidth="1"/>
    <col min="1290" max="1291" width="8.7109375" style="38"/>
    <col min="1292" max="1292" width="11.28515625" style="38" bestFit="1" customWidth="1"/>
    <col min="1293" max="1293" width="12.140625" style="38" customWidth="1"/>
    <col min="1294" max="1294" width="9.7109375" style="38" customWidth="1"/>
    <col min="1295" max="1295" width="26.5703125" style="38" bestFit="1" customWidth="1"/>
    <col min="1296" max="1296" width="29.28515625" style="38" bestFit="1" customWidth="1"/>
    <col min="1297" max="1306" width="6.7109375" style="38" customWidth="1"/>
    <col min="1307" max="1536" width="8.7109375" style="38"/>
    <col min="1537" max="1537" width="43.7109375" style="38" customWidth="1"/>
    <col min="1538" max="1538" width="12.5703125" style="38" customWidth="1"/>
    <col min="1539" max="1539" width="8.7109375" style="38"/>
    <col min="1540" max="1540" width="11.42578125" style="38" customWidth="1"/>
    <col min="1541" max="1541" width="9.42578125" style="38" customWidth="1"/>
    <col min="1542" max="1542" width="9.7109375" style="38" bestFit="1" customWidth="1"/>
    <col min="1543" max="1543" width="8.7109375" style="38"/>
    <col min="1544" max="1544" width="25" style="38" customWidth="1"/>
    <col min="1545" max="1545" width="9.5703125" style="38" customWidth="1"/>
    <col min="1546" max="1547" width="8.7109375" style="38"/>
    <col min="1548" max="1548" width="11.28515625" style="38" bestFit="1" customWidth="1"/>
    <col min="1549" max="1549" width="12.140625" style="38" customWidth="1"/>
    <col min="1550" max="1550" width="9.7109375" style="38" customWidth="1"/>
    <col min="1551" max="1551" width="26.5703125" style="38" bestFit="1" customWidth="1"/>
    <col min="1552" max="1552" width="29.28515625" style="38" bestFit="1" customWidth="1"/>
    <col min="1553" max="1562" width="6.7109375" style="38" customWidth="1"/>
    <col min="1563" max="1792" width="8.7109375" style="38"/>
    <col min="1793" max="1793" width="43.7109375" style="38" customWidth="1"/>
    <col min="1794" max="1794" width="12.5703125" style="38" customWidth="1"/>
    <col min="1795" max="1795" width="8.7109375" style="38"/>
    <col min="1796" max="1796" width="11.42578125" style="38" customWidth="1"/>
    <col min="1797" max="1797" width="9.42578125" style="38" customWidth="1"/>
    <col min="1798" max="1798" width="9.7109375" style="38" bestFit="1" customWidth="1"/>
    <col min="1799" max="1799" width="8.7109375" style="38"/>
    <col min="1800" max="1800" width="25" style="38" customWidth="1"/>
    <col min="1801" max="1801" width="9.5703125" style="38" customWidth="1"/>
    <col min="1802" max="1803" width="8.7109375" style="38"/>
    <col min="1804" max="1804" width="11.28515625" style="38" bestFit="1" customWidth="1"/>
    <col min="1805" max="1805" width="12.140625" style="38" customWidth="1"/>
    <col min="1806" max="1806" width="9.7109375" style="38" customWidth="1"/>
    <col min="1807" max="1807" width="26.5703125" style="38" bestFit="1" customWidth="1"/>
    <col min="1808" max="1808" width="29.28515625" style="38" bestFit="1" customWidth="1"/>
    <col min="1809" max="1818" width="6.7109375" style="38" customWidth="1"/>
    <col min="1819" max="2048" width="8.7109375" style="38"/>
    <col min="2049" max="2049" width="43.7109375" style="38" customWidth="1"/>
    <col min="2050" max="2050" width="12.5703125" style="38" customWidth="1"/>
    <col min="2051" max="2051" width="8.7109375" style="38"/>
    <col min="2052" max="2052" width="11.42578125" style="38" customWidth="1"/>
    <col min="2053" max="2053" width="9.42578125" style="38" customWidth="1"/>
    <col min="2054" max="2054" width="9.7109375" style="38" bestFit="1" customWidth="1"/>
    <col min="2055" max="2055" width="8.7109375" style="38"/>
    <col min="2056" max="2056" width="25" style="38" customWidth="1"/>
    <col min="2057" max="2057" width="9.5703125" style="38" customWidth="1"/>
    <col min="2058" max="2059" width="8.7109375" style="38"/>
    <col min="2060" max="2060" width="11.28515625" style="38" bestFit="1" customWidth="1"/>
    <col min="2061" max="2061" width="12.140625" style="38" customWidth="1"/>
    <col min="2062" max="2062" width="9.7109375" style="38" customWidth="1"/>
    <col min="2063" max="2063" width="26.5703125" style="38" bestFit="1" customWidth="1"/>
    <col min="2064" max="2064" width="29.28515625" style="38" bestFit="1" customWidth="1"/>
    <col min="2065" max="2074" width="6.7109375" style="38" customWidth="1"/>
    <col min="2075" max="2304" width="8.7109375" style="38"/>
    <col min="2305" max="2305" width="43.7109375" style="38" customWidth="1"/>
    <col min="2306" max="2306" width="12.5703125" style="38" customWidth="1"/>
    <col min="2307" max="2307" width="8.7109375" style="38"/>
    <col min="2308" max="2308" width="11.42578125" style="38" customWidth="1"/>
    <col min="2309" max="2309" width="9.42578125" style="38" customWidth="1"/>
    <col min="2310" max="2310" width="9.7109375" style="38" bestFit="1" customWidth="1"/>
    <col min="2311" max="2311" width="8.7109375" style="38"/>
    <col min="2312" max="2312" width="25" style="38" customWidth="1"/>
    <col min="2313" max="2313" width="9.5703125" style="38" customWidth="1"/>
    <col min="2314" max="2315" width="8.7109375" style="38"/>
    <col min="2316" max="2316" width="11.28515625" style="38" bestFit="1" customWidth="1"/>
    <col min="2317" max="2317" width="12.140625" style="38" customWidth="1"/>
    <col min="2318" max="2318" width="9.7109375" style="38" customWidth="1"/>
    <col min="2319" max="2319" width="26.5703125" style="38" bestFit="1" customWidth="1"/>
    <col min="2320" max="2320" width="29.28515625" style="38" bestFit="1" customWidth="1"/>
    <col min="2321" max="2330" width="6.7109375" style="38" customWidth="1"/>
    <col min="2331" max="2560" width="8.7109375" style="38"/>
    <col min="2561" max="2561" width="43.7109375" style="38" customWidth="1"/>
    <col min="2562" max="2562" width="12.5703125" style="38" customWidth="1"/>
    <col min="2563" max="2563" width="8.7109375" style="38"/>
    <col min="2564" max="2564" width="11.42578125" style="38" customWidth="1"/>
    <col min="2565" max="2565" width="9.42578125" style="38" customWidth="1"/>
    <col min="2566" max="2566" width="9.7109375" style="38" bestFit="1" customWidth="1"/>
    <col min="2567" max="2567" width="8.7109375" style="38"/>
    <col min="2568" max="2568" width="25" style="38" customWidth="1"/>
    <col min="2569" max="2569" width="9.5703125" style="38" customWidth="1"/>
    <col min="2570" max="2571" width="8.7109375" style="38"/>
    <col min="2572" max="2572" width="11.28515625" style="38" bestFit="1" customWidth="1"/>
    <col min="2573" max="2573" width="12.140625" style="38" customWidth="1"/>
    <col min="2574" max="2574" width="9.7109375" style="38" customWidth="1"/>
    <col min="2575" max="2575" width="26.5703125" style="38" bestFit="1" customWidth="1"/>
    <col min="2576" max="2576" width="29.28515625" style="38" bestFit="1" customWidth="1"/>
    <col min="2577" max="2586" width="6.7109375" style="38" customWidth="1"/>
    <col min="2587" max="2816" width="8.7109375" style="38"/>
    <col min="2817" max="2817" width="43.7109375" style="38" customWidth="1"/>
    <col min="2818" max="2818" width="12.5703125" style="38" customWidth="1"/>
    <col min="2819" max="2819" width="8.7109375" style="38"/>
    <col min="2820" max="2820" width="11.42578125" style="38" customWidth="1"/>
    <col min="2821" max="2821" width="9.42578125" style="38" customWidth="1"/>
    <col min="2822" max="2822" width="9.7109375" style="38" bestFit="1" customWidth="1"/>
    <col min="2823" max="2823" width="8.7109375" style="38"/>
    <col min="2824" max="2824" width="25" style="38" customWidth="1"/>
    <col min="2825" max="2825" width="9.5703125" style="38" customWidth="1"/>
    <col min="2826" max="2827" width="8.7109375" style="38"/>
    <col min="2828" max="2828" width="11.28515625" style="38" bestFit="1" customWidth="1"/>
    <col min="2829" max="2829" width="12.140625" style="38" customWidth="1"/>
    <col min="2830" max="2830" width="9.7109375" style="38" customWidth="1"/>
    <col min="2831" max="2831" width="26.5703125" style="38" bestFit="1" customWidth="1"/>
    <col min="2832" max="2832" width="29.28515625" style="38" bestFit="1" customWidth="1"/>
    <col min="2833" max="2842" width="6.7109375" style="38" customWidth="1"/>
    <col min="2843" max="3072" width="8.7109375" style="38"/>
    <col min="3073" max="3073" width="43.7109375" style="38" customWidth="1"/>
    <col min="3074" max="3074" width="12.5703125" style="38" customWidth="1"/>
    <col min="3075" max="3075" width="8.7109375" style="38"/>
    <col min="3076" max="3076" width="11.42578125" style="38" customWidth="1"/>
    <col min="3077" max="3077" width="9.42578125" style="38" customWidth="1"/>
    <col min="3078" max="3078" width="9.7109375" style="38" bestFit="1" customWidth="1"/>
    <col min="3079" max="3079" width="8.7109375" style="38"/>
    <col min="3080" max="3080" width="25" style="38" customWidth="1"/>
    <col min="3081" max="3081" width="9.5703125" style="38" customWidth="1"/>
    <col min="3082" max="3083" width="8.7109375" style="38"/>
    <col min="3084" max="3084" width="11.28515625" style="38" bestFit="1" customWidth="1"/>
    <col min="3085" max="3085" width="12.140625" style="38" customWidth="1"/>
    <col min="3086" max="3086" width="9.7109375" style="38" customWidth="1"/>
    <col min="3087" max="3087" width="26.5703125" style="38" bestFit="1" customWidth="1"/>
    <col min="3088" max="3088" width="29.28515625" style="38" bestFit="1" customWidth="1"/>
    <col min="3089" max="3098" width="6.7109375" style="38" customWidth="1"/>
    <col min="3099" max="3328" width="8.7109375" style="38"/>
    <col min="3329" max="3329" width="43.7109375" style="38" customWidth="1"/>
    <col min="3330" max="3330" width="12.5703125" style="38" customWidth="1"/>
    <col min="3331" max="3331" width="8.7109375" style="38"/>
    <col min="3332" max="3332" width="11.42578125" style="38" customWidth="1"/>
    <col min="3333" max="3333" width="9.42578125" style="38" customWidth="1"/>
    <col min="3334" max="3334" width="9.7109375" style="38" bestFit="1" customWidth="1"/>
    <col min="3335" max="3335" width="8.7109375" style="38"/>
    <col min="3336" max="3336" width="25" style="38" customWidth="1"/>
    <col min="3337" max="3337" width="9.5703125" style="38" customWidth="1"/>
    <col min="3338" max="3339" width="8.7109375" style="38"/>
    <col min="3340" max="3340" width="11.28515625" style="38" bestFit="1" customWidth="1"/>
    <col min="3341" max="3341" width="12.140625" style="38" customWidth="1"/>
    <col min="3342" max="3342" width="9.7109375" style="38" customWidth="1"/>
    <col min="3343" max="3343" width="26.5703125" style="38" bestFit="1" customWidth="1"/>
    <col min="3344" max="3344" width="29.28515625" style="38" bestFit="1" customWidth="1"/>
    <col min="3345" max="3354" width="6.7109375" style="38" customWidth="1"/>
    <col min="3355" max="3584" width="8.7109375" style="38"/>
    <col min="3585" max="3585" width="43.7109375" style="38" customWidth="1"/>
    <col min="3586" max="3586" width="12.5703125" style="38" customWidth="1"/>
    <col min="3587" max="3587" width="8.7109375" style="38"/>
    <col min="3588" max="3588" width="11.42578125" style="38" customWidth="1"/>
    <col min="3589" max="3589" width="9.42578125" style="38" customWidth="1"/>
    <col min="3590" max="3590" width="9.7109375" style="38" bestFit="1" customWidth="1"/>
    <col min="3591" max="3591" width="8.7109375" style="38"/>
    <col min="3592" max="3592" width="25" style="38" customWidth="1"/>
    <col min="3593" max="3593" width="9.5703125" style="38" customWidth="1"/>
    <col min="3594" max="3595" width="8.7109375" style="38"/>
    <col min="3596" max="3596" width="11.28515625" style="38" bestFit="1" customWidth="1"/>
    <col min="3597" max="3597" width="12.140625" style="38" customWidth="1"/>
    <col min="3598" max="3598" width="9.7109375" style="38" customWidth="1"/>
    <col min="3599" max="3599" width="26.5703125" style="38" bestFit="1" customWidth="1"/>
    <col min="3600" max="3600" width="29.28515625" style="38" bestFit="1" customWidth="1"/>
    <col min="3601" max="3610" width="6.7109375" style="38" customWidth="1"/>
    <col min="3611" max="3840" width="8.7109375" style="38"/>
    <col min="3841" max="3841" width="43.7109375" style="38" customWidth="1"/>
    <col min="3842" max="3842" width="12.5703125" style="38" customWidth="1"/>
    <col min="3843" max="3843" width="8.7109375" style="38"/>
    <col min="3844" max="3844" width="11.42578125" style="38" customWidth="1"/>
    <col min="3845" max="3845" width="9.42578125" style="38" customWidth="1"/>
    <col min="3846" max="3846" width="9.7109375" style="38" bestFit="1" customWidth="1"/>
    <col min="3847" max="3847" width="8.7109375" style="38"/>
    <col min="3848" max="3848" width="25" style="38" customWidth="1"/>
    <col min="3849" max="3849" width="9.5703125" style="38" customWidth="1"/>
    <col min="3850" max="3851" width="8.7109375" style="38"/>
    <col min="3852" max="3852" width="11.28515625" style="38" bestFit="1" customWidth="1"/>
    <col min="3853" max="3853" width="12.140625" style="38" customWidth="1"/>
    <col min="3854" max="3854" width="9.7109375" style="38" customWidth="1"/>
    <col min="3855" max="3855" width="26.5703125" style="38" bestFit="1" customWidth="1"/>
    <col min="3856" max="3856" width="29.28515625" style="38" bestFit="1" customWidth="1"/>
    <col min="3857" max="3866" width="6.7109375" style="38" customWidth="1"/>
    <col min="3867" max="4096" width="8.7109375" style="38"/>
    <col min="4097" max="4097" width="43.7109375" style="38" customWidth="1"/>
    <col min="4098" max="4098" width="12.5703125" style="38" customWidth="1"/>
    <col min="4099" max="4099" width="8.7109375" style="38"/>
    <col min="4100" max="4100" width="11.42578125" style="38" customWidth="1"/>
    <col min="4101" max="4101" width="9.42578125" style="38" customWidth="1"/>
    <col min="4102" max="4102" width="9.7109375" style="38" bestFit="1" customWidth="1"/>
    <col min="4103" max="4103" width="8.7109375" style="38"/>
    <col min="4104" max="4104" width="25" style="38" customWidth="1"/>
    <col min="4105" max="4105" width="9.5703125" style="38" customWidth="1"/>
    <col min="4106" max="4107" width="8.7109375" style="38"/>
    <col min="4108" max="4108" width="11.28515625" style="38" bestFit="1" customWidth="1"/>
    <col min="4109" max="4109" width="12.140625" style="38" customWidth="1"/>
    <col min="4110" max="4110" width="9.7109375" style="38" customWidth="1"/>
    <col min="4111" max="4111" width="26.5703125" style="38" bestFit="1" customWidth="1"/>
    <col min="4112" max="4112" width="29.28515625" style="38" bestFit="1" customWidth="1"/>
    <col min="4113" max="4122" width="6.7109375" style="38" customWidth="1"/>
    <col min="4123" max="4352" width="8.7109375" style="38"/>
    <col min="4353" max="4353" width="43.7109375" style="38" customWidth="1"/>
    <col min="4354" max="4354" width="12.5703125" style="38" customWidth="1"/>
    <col min="4355" max="4355" width="8.7109375" style="38"/>
    <col min="4356" max="4356" width="11.42578125" style="38" customWidth="1"/>
    <col min="4357" max="4357" width="9.42578125" style="38" customWidth="1"/>
    <col min="4358" max="4358" width="9.7109375" style="38" bestFit="1" customWidth="1"/>
    <col min="4359" max="4359" width="8.7109375" style="38"/>
    <col min="4360" max="4360" width="25" style="38" customWidth="1"/>
    <col min="4361" max="4361" width="9.5703125" style="38" customWidth="1"/>
    <col min="4362" max="4363" width="8.7109375" style="38"/>
    <col min="4364" max="4364" width="11.28515625" style="38" bestFit="1" customWidth="1"/>
    <col min="4365" max="4365" width="12.140625" style="38" customWidth="1"/>
    <col min="4366" max="4366" width="9.7109375" style="38" customWidth="1"/>
    <col min="4367" max="4367" width="26.5703125" style="38" bestFit="1" customWidth="1"/>
    <col min="4368" max="4368" width="29.28515625" style="38" bestFit="1" customWidth="1"/>
    <col min="4369" max="4378" width="6.7109375" style="38" customWidth="1"/>
    <col min="4379" max="4608" width="8.7109375" style="38"/>
    <col min="4609" max="4609" width="43.7109375" style="38" customWidth="1"/>
    <col min="4610" max="4610" width="12.5703125" style="38" customWidth="1"/>
    <col min="4611" max="4611" width="8.7109375" style="38"/>
    <col min="4612" max="4612" width="11.42578125" style="38" customWidth="1"/>
    <col min="4613" max="4613" width="9.42578125" style="38" customWidth="1"/>
    <col min="4614" max="4614" width="9.7109375" style="38" bestFit="1" customWidth="1"/>
    <col min="4615" max="4615" width="8.7109375" style="38"/>
    <col min="4616" max="4616" width="25" style="38" customWidth="1"/>
    <col min="4617" max="4617" width="9.5703125" style="38" customWidth="1"/>
    <col min="4618" max="4619" width="8.7109375" style="38"/>
    <col min="4620" max="4620" width="11.28515625" style="38" bestFit="1" customWidth="1"/>
    <col min="4621" max="4621" width="12.140625" style="38" customWidth="1"/>
    <col min="4622" max="4622" width="9.7109375" style="38" customWidth="1"/>
    <col min="4623" max="4623" width="26.5703125" style="38" bestFit="1" customWidth="1"/>
    <col min="4624" max="4624" width="29.28515625" style="38" bestFit="1" customWidth="1"/>
    <col min="4625" max="4634" width="6.7109375" style="38" customWidth="1"/>
    <col min="4635" max="4864" width="8.7109375" style="38"/>
    <col min="4865" max="4865" width="43.7109375" style="38" customWidth="1"/>
    <col min="4866" max="4866" width="12.5703125" style="38" customWidth="1"/>
    <col min="4867" max="4867" width="8.7109375" style="38"/>
    <col min="4868" max="4868" width="11.42578125" style="38" customWidth="1"/>
    <col min="4869" max="4869" width="9.42578125" style="38" customWidth="1"/>
    <col min="4870" max="4870" width="9.7109375" style="38" bestFit="1" customWidth="1"/>
    <col min="4871" max="4871" width="8.7109375" style="38"/>
    <col min="4872" max="4872" width="25" style="38" customWidth="1"/>
    <col min="4873" max="4873" width="9.5703125" style="38" customWidth="1"/>
    <col min="4874" max="4875" width="8.7109375" style="38"/>
    <col min="4876" max="4876" width="11.28515625" style="38" bestFit="1" customWidth="1"/>
    <col min="4877" max="4877" width="12.140625" style="38" customWidth="1"/>
    <col min="4878" max="4878" width="9.7109375" style="38" customWidth="1"/>
    <col min="4879" max="4879" width="26.5703125" style="38" bestFit="1" customWidth="1"/>
    <col min="4880" max="4880" width="29.28515625" style="38" bestFit="1" customWidth="1"/>
    <col min="4881" max="4890" width="6.7109375" style="38" customWidth="1"/>
    <col min="4891" max="5120" width="8.7109375" style="38"/>
    <col min="5121" max="5121" width="43.7109375" style="38" customWidth="1"/>
    <col min="5122" max="5122" width="12.5703125" style="38" customWidth="1"/>
    <col min="5123" max="5123" width="8.7109375" style="38"/>
    <col min="5124" max="5124" width="11.42578125" style="38" customWidth="1"/>
    <col min="5125" max="5125" width="9.42578125" style="38" customWidth="1"/>
    <col min="5126" max="5126" width="9.7109375" style="38" bestFit="1" customWidth="1"/>
    <col min="5127" max="5127" width="8.7109375" style="38"/>
    <col min="5128" max="5128" width="25" style="38" customWidth="1"/>
    <col min="5129" max="5129" width="9.5703125" style="38" customWidth="1"/>
    <col min="5130" max="5131" width="8.7109375" style="38"/>
    <col min="5132" max="5132" width="11.28515625" style="38" bestFit="1" customWidth="1"/>
    <col min="5133" max="5133" width="12.140625" style="38" customWidth="1"/>
    <col min="5134" max="5134" width="9.7109375" style="38" customWidth="1"/>
    <col min="5135" max="5135" width="26.5703125" style="38" bestFit="1" customWidth="1"/>
    <col min="5136" max="5136" width="29.28515625" style="38" bestFit="1" customWidth="1"/>
    <col min="5137" max="5146" width="6.7109375" style="38" customWidth="1"/>
    <col min="5147" max="5376" width="8.7109375" style="38"/>
    <col min="5377" max="5377" width="43.7109375" style="38" customWidth="1"/>
    <col min="5378" max="5378" width="12.5703125" style="38" customWidth="1"/>
    <col min="5379" max="5379" width="8.7109375" style="38"/>
    <col min="5380" max="5380" width="11.42578125" style="38" customWidth="1"/>
    <col min="5381" max="5381" width="9.42578125" style="38" customWidth="1"/>
    <col min="5382" max="5382" width="9.7109375" style="38" bestFit="1" customWidth="1"/>
    <col min="5383" max="5383" width="8.7109375" style="38"/>
    <col min="5384" max="5384" width="25" style="38" customWidth="1"/>
    <col min="5385" max="5385" width="9.5703125" style="38" customWidth="1"/>
    <col min="5386" max="5387" width="8.7109375" style="38"/>
    <col min="5388" max="5388" width="11.28515625" style="38" bestFit="1" customWidth="1"/>
    <col min="5389" max="5389" width="12.140625" style="38" customWidth="1"/>
    <col min="5390" max="5390" width="9.7109375" style="38" customWidth="1"/>
    <col min="5391" max="5391" width="26.5703125" style="38" bestFit="1" customWidth="1"/>
    <col min="5392" max="5392" width="29.28515625" style="38" bestFit="1" customWidth="1"/>
    <col min="5393" max="5402" width="6.7109375" style="38" customWidth="1"/>
    <col min="5403" max="5632" width="8.7109375" style="38"/>
    <col min="5633" max="5633" width="43.7109375" style="38" customWidth="1"/>
    <col min="5634" max="5634" width="12.5703125" style="38" customWidth="1"/>
    <col min="5635" max="5635" width="8.7109375" style="38"/>
    <col min="5636" max="5636" width="11.42578125" style="38" customWidth="1"/>
    <col min="5637" max="5637" width="9.42578125" style="38" customWidth="1"/>
    <col min="5638" max="5638" width="9.7109375" style="38" bestFit="1" customWidth="1"/>
    <col min="5639" max="5639" width="8.7109375" style="38"/>
    <col min="5640" max="5640" width="25" style="38" customWidth="1"/>
    <col min="5641" max="5641" width="9.5703125" style="38" customWidth="1"/>
    <col min="5642" max="5643" width="8.7109375" style="38"/>
    <col min="5644" max="5644" width="11.28515625" style="38" bestFit="1" customWidth="1"/>
    <col min="5645" max="5645" width="12.140625" style="38" customWidth="1"/>
    <col min="5646" max="5646" width="9.7109375" style="38" customWidth="1"/>
    <col min="5647" max="5647" width="26.5703125" style="38" bestFit="1" customWidth="1"/>
    <col min="5648" max="5648" width="29.28515625" style="38" bestFit="1" customWidth="1"/>
    <col min="5649" max="5658" width="6.7109375" style="38" customWidth="1"/>
    <col min="5659" max="5888" width="8.7109375" style="38"/>
    <col min="5889" max="5889" width="43.7109375" style="38" customWidth="1"/>
    <col min="5890" max="5890" width="12.5703125" style="38" customWidth="1"/>
    <col min="5891" max="5891" width="8.7109375" style="38"/>
    <col min="5892" max="5892" width="11.42578125" style="38" customWidth="1"/>
    <col min="5893" max="5893" width="9.42578125" style="38" customWidth="1"/>
    <col min="5894" max="5894" width="9.7109375" style="38" bestFit="1" customWidth="1"/>
    <col min="5895" max="5895" width="8.7109375" style="38"/>
    <col min="5896" max="5896" width="25" style="38" customWidth="1"/>
    <col min="5897" max="5897" width="9.5703125" style="38" customWidth="1"/>
    <col min="5898" max="5899" width="8.7109375" style="38"/>
    <col min="5900" max="5900" width="11.28515625" style="38" bestFit="1" customWidth="1"/>
    <col min="5901" max="5901" width="12.140625" style="38" customWidth="1"/>
    <col min="5902" max="5902" width="9.7109375" style="38" customWidth="1"/>
    <col min="5903" max="5903" width="26.5703125" style="38" bestFit="1" customWidth="1"/>
    <col min="5904" max="5904" width="29.28515625" style="38" bestFit="1" customWidth="1"/>
    <col min="5905" max="5914" width="6.7109375" style="38" customWidth="1"/>
    <col min="5915" max="6144" width="8.7109375" style="38"/>
    <col min="6145" max="6145" width="43.7109375" style="38" customWidth="1"/>
    <col min="6146" max="6146" width="12.5703125" style="38" customWidth="1"/>
    <col min="6147" max="6147" width="8.7109375" style="38"/>
    <col min="6148" max="6148" width="11.42578125" style="38" customWidth="1"/>
    <col min="6149" max="6149" width="9.42578125" style="38" customWidth="1"/>
    <col min="6150" max="6150" width="9.7109375" style="38" bestFit="1" customWidth="1"/>
    <col min="6151" max="6151" width="8.7109375" style="38"/>
    <col min="6152" max="6152" width="25" style="38" customWidth="1"/>
    <col min="6153" max="6153" width="9.5703125" style="38" customWidth="1"/>
    <col min="6154" max="6155" width="8.7109375" style="38"/>
    <col min="6156" max="6156" width="11.28515625" style="38" bestFit="1" customWidth="1"/>
    <col min="6157" max="6157" width="12.140625" style="38" customWidth="1"/>
    <col min="6158" max="6158" width="9.7109375" style="38" customWidth="1"/>
    <col min="6159" max="6159" width="26.5703125" style="38" bestFit="1" customWidth="1"/>
    <col min="6160" max="6160" width="29.28515625" style="38" bestFit="1" customWidth="1"/>
    <col min="6161" max="6170" width="6.7109375" style="38" customWidth="1"/>
    <col min="6171" max="6400" width="8.7109375" style="38"/>
    <col min="6401" max="6401" width="43.7109375" style="38" customWidth="1"/>
    <col min="6402" max="6402" width="12.5703125" style="38" customWidth="1"/>
    <col min="6403" max="6403" width="8.7109375" style="38"/>
    <col min="6404" max="6404" width="11.42578125" style="38" customWidth="1"/>
    <col min="6405" max="6405" width="9.42578125" style="38" customWidth="1"/>
    <col min="6406" max="6406" width="9.7109375" style="38" bestFit="1" customWidth="1"/>
    <col min="6407" max="6407" width="8.7109375" style="38"/>
    <col min="6408" max="6408" width="25" style="38" customWidth="1"/>
    <col min="6409" max="6409" width="9.5703125" style="38" customWidth="1"/>
    <col min="6410" max="6411" width="8.7109375" style="38"/>
    <col min="6412" max="6412" width="11.28515625" style="38" bestFit="1" customWidth="1"/>
    <col min="6413" max="6413" width="12.140625" style="38" customWidth="1"/>
    <col min="6414" max="6414" width="9.7109375" style="38" customWidth="1"/>
    <col min="6415" max="6415" width="26.5703125" style="38" bestFit="1" customWidth="1"/>
    <col min="6416" max="6416" width="29.28515625" style="38" bestFit="1" customWidth="1"/>
    <col min="6417" max="6426" width="6.7109375" style="38" customWidth="1"/>
    <col min="6427" max="6656" width="8.7109375" style="38"/>
    <col min="6657" max="6657" width="43.7109375" style="38" customWidth="1"/>
    <col min="6658" max="6658" width="12.5703125" style="38" customWidth="1"/>
    <col min="6659" max="6659" width="8.7109375" style="38"/>
    <col min="6660" max="6660" width="11.42578125" style="38" customWidth="1"/>
    <col min="6661" max="6661" width="9.42578125" style="38" customWidth="1"/>
    <col min="6662" max="6662" width="9.7109375" style="38" bestFit="1" customWidth="1"/>
    <col min="6663" max="6663" width="8.7109375" style="38"/>
    <col min="6664" max="6664" width="25" style="38" customWidth="1"/>
    <col min="6665" max="6665" width="9.5703125" style="38" customWidth="1"/>
    <col min="6666" max="6667" width="8.7109375" style="38"/>
    <col min="6668" max="6668" width="11.28515625" style="38" bestFit="1" customWidth="1"/>
    <col min="6669" max="6669" width="12.140625" style="38" customWidth="1"/>
    <col min="6670" max="6670" width="9.7109375" style="38" customWidth="1"/>
    <col min="6671" max="6671" width="26.5703125" style="38" bestFit="1" customWidth="1"/>
    <col min="6672" max="6672" width="29.28515625" style="38" bestFit="1" customWidth="1"/>
    <col min="6673" max="6682" width="6.7109375" style="38" customWidth="1"/>
    <col min="6683" max="6912" width="8.7109375" style="38"/>
    <col min="6913" max="6913" width="43.7109375" style="38" customWidth="1"/>
    <col min="6914" max="6914" width="12.5703125" style="38" customWidth="1"/>
    <col min="6915" max="6915" width="8.7109375" style="38"/>
    <col min="6916" max="6916" width="11.42578125" style="38" customWidth="1"/>
    <col min="6917" max="6917" width="9.42578125" style="38" customWidth="1"/>
    <col min="6918" max="6918" width="9.7109375" style="38" bestFit="1" customWidth="1"/>
    <col min="6919" max="6919" width="8.7109375" style="38"/>
    <col min="6920" max="6920" width="25" style="38" customWidth="1"/>
    <col min="6921" max="6921" width="9.5703125" style="38" customWidth="1"/>
    <col min="6922" max="6923" width="8.7109375" style="38"/>
    <col min="6924" max="6924" width="11.28515625" style="38" bestFit="1" customWidth="1"/>
    <col min="6925" max="6925" width="12.140625" style="38" customWidth="1"/>
    <col min="6926" max="6926" width="9.7109375" style="38" customWidth="1"/>
    <col min="6927" max="6927" width="26.5703125" style="38" bestFit="1" customWidth="1"/>
    <col min="6928" max="6928" width="29.28515625" style="38" bestFit="1" customWidth="1"/>
    <col min="6929" max="6938" width="6.7109375" style="38" customWidth="1"/>
    <col min="6939" max="7168" width="8.7109375" style="38"/>
    <col min="7169" max="7169" width="43.7109375" style="38" customWidth="1"/>
    <col min="7170" max="7170" width="12.5703125" style="38" customWidth="1"/>
    <col min="7171" max="7171" width="8.7109375" style="38"/>
    <col min="7172" max="7172" width="11.42578125" style="38" customWidth="1"/>
    <col min="7173" max="7173" width="9.42578125" style="38" customWidth="1"/>
    <col min="7174" max="7174" width="9.7109375" style="38" bestFit="1" customWidth="1"/>
    <col min="7175" max="7175" width="8.7109375" style="38"/>
    <col min="7176" max="7176" width="25" style="38" customWidth="1"/>
    <col min="7177" max="7177" width="9.5703125" style="38" customWidth="1"/>
    <col min="7178" max="7179" width="8.7109375" style="38"/>
    <col min="7180" max="7180" width="11.28515625" style="38" bestFit="1" customWidth="1"/>
    <col min="7181" max="7181" width="12.140625" style="38" customWidth="1"/>
    <col min="7182" max="7182" width="9.7109375" style="38" customWidth="1"/>
    <col min="7183" max="7183" width="26.5703125" style="38" bestFit="1" customWidth="1"/>
    <col min="7184" max="7184" width="29.28515625" style="38" bestFit="1" customWidth="1"/>
    <col min="7185" max="7194" width="6.7109375" style="38" customWidth="1"/>
    <col min="7195" max="7424" width="8.7109375" style="38"/>
    <col min="7425" max="7425" width="43.7109375" style="38" customWidth="1"/>
    <col min="7426" max="7426" width="12.5703125" style="38" customWidth="1"/>
    <col min="7427" max="7427" width="8.7109375" style="38"/>
    <col min="7428" max="7428" width="11.42578125" style="38" customWidth="1"/>
    <col min="7429" max="7429" width="9.42578125" style="38" customWidth="1"/>
    <col min="7430" max="7430" width="9.7109375" style="38" bestFit="1" customWidth="1"/>
    <col min="7431" max="7431" width="8.7109375" style="38"/>
    <col min="7432" max="7432" width="25" style="38" customWidth="1"/>
    <col min="7433" max="7433" width="9.5703125" style="38" customWidth="1"/>
    <col min="7434" max="7435" width="8.7109375" style="38"/>
    <col min="7436" max="7436" width="11.28515625" style="38" bestFit="1" customWidth="1"/>
    <col min="7437" max="7437" width="12.140625" style="38" customWidth="1"/>
    <col min="7438" max="7438" width="9.7109375" style="38" customWidth="1"/>
    <col min="7439" max="7439" width="26.5703125" style="38" bestFit="1" customWidth="1"/>
    <col min="7440" max="7440" width="29.28515625" style="38" bestFit="1" customWidth="1"/>
    <col min="7441" max="7450" width="6.7109375" style="38" customWidth="1"/>
    <col min="7451" max="7680" width="8.7109375" style="38"/>
    <col min="7681" max="7681" width="43.7109375" style="38" customWidth="1"/>
    <col min="7682" max="7682" width="12.5703125" style="38" customWidth="1"/>
    <col min="7683" max="7683" width="8.7109375" style="38"/>
    <col min="7684" max="7684" width="11.42578125" style="38" customWidth="1"/>
    <col min="7685" max="7685" width="9.42578125" style="38" customWidth="1"/>
    <col min="7686" max="7686" width="9.7109375" style="38" bestFit="1" customWidth="1"/>
    <col min="7687" max="7687" width="8.7109375" style="38"/>
    <col min="7688" max="7688" width="25" style="38" customWidth="1"/>
    <col min="7689" max="7689" width="9.5703125" style="38" customWidth="1"/>
    <col min="7690" max="7691" width="8.7109375" style="38"/>
    <col min="7692" max="7692" width="11.28515625" style="38" bestFit="1" customWidth="1"/>
    <col min="7693" max="7693" width="12.140625" style="38" customWidth="1"/>
    <col min="7694" max="7694" width="9.7109375" style="38" customWidth="1"/>
    <col min="7695" max="7695" width="26.5703125" style="38" bestFit="1" customWidth="1"/>
    <col min="7696" max="7696" width="29.28515625" style="38" bestFit="1" customWidth="1"/>
    <col min="7697" max="7706" width="6.7109375" style="38" customWidth="1"/>
    <col min="7707" max="7936" width="8.7109375" style="38"/>
    <col min="7937" max="7937" width="43.7109375" style="38" customWidth="1"/>
    <col min="7938" max="7938" width="12.5703125" style="38" customWidth="1"/>
    <col min="7939" max="7939" width="8.7109375" style="38"/>
    <col min="7940" max="7940" width="11.42578125" style="38" customWidth="1"/>
    <col min="7941" max="7941" width="9.42578125" style="38" customWidth="1"/>
    <col min="7942" max="7942" width="9.7109375" style="38" bestFit="1" customWidth="1"/>
    <col min="7943" max="7943" width="8.7109375" style="38"/>
    <col min="7944" max="7944" width="25" style="38" customWidth="1"/>
    <col min="7945" max="7945" width="9.5703125" style="38" customWidth="1"/>
    <col min="7946" max="7947" width="8.7109375" style="38"/>
    <col min="7948" max="7948" width="11.28515625" style="38" bestFit="1" customWidth="1"/>
    <col min="7949" max="7949" width="12.140625" style="38" customWidth="1"/>
    <col min="7950" max="7950" width="9.7109375" style="38" customWidth="1"/>
    <col min="7951" max="7951" width="26.5703125" style="38" bestFit="1" customWidth="1"/>
    <col min="7952" max="7952" width="29.28515625" style="38" bestFit="1" customWidth="1"/>
    <col min="7953" max="7962" width="6.7109375" style="38" customWidth="1"/>
    <col min="7963" max="8192" width="8.7109375" style="38"/>
    <col min="8193" max="8193" width="43.7109375" style="38" customWidth="1"/>
    <col min="8194" max="8194" width="12.5703125" style="38" customWidth="1"/>
    <col min="8195" max="8195" width="8.7109375" style="38"/>
    <col min="8196" max="8196" width="11.42578125" style="38" customWidth="1"/>
    <col min="8197" max="8197" width="9.42578125" style="38" customWidth="1"/>
    <col min="8198" max="8198" width="9.7109375" style="38" bestFit="1" customWidth="1"/>
    <col min="8199" max="8199" width="8.7109375" style="38"/>
    <col min="8200" max="8200" width="25" style="38" customWidth="1"/>
    <col min="8201" max="8201" width="9.5703125" style="38" customWidth="1"/>
    <col min="8202" max="8203" width="8.7109375" style="38"/>
    <col min="8204" max="8204" width="11.28515625" style="38" bestFit="1" customWidth="1"/>
    <col min="8205" max="8205" width="12.140625" style="38" customWidth="1"/>
    <col min="8206" max="8206" width="9.7109375" style="38" customWidth="1"/>
    <col min="8207" max="8207" width="26.5703125" style="38" bestFit="1" customWidth="1"/>
    <col min="8208" max="8208" width="29.28515625" style="38" bestFit="1" customWidth="1"/>
    <col min="8209" max="8218" width="6.7109375" style="38" customWidth="1"/>
    <col min="8219" max="8448" width="8.7109375" style="38"/>
    <col min="8449" max="8449" width="43.7109375" style="38" customWidth="1"/>
    <col min="8450" max="8450" width="12.5703125" style="38" customWidth="1"/>
    <col min="8451" max="8451" width="8.7109375" style="38"/>
    <col min="8452" max="8452" width="11.42578125" style="38" customWidth="1"/>
    <col min="8453" max="8453" width="9.42578125" style="38" customWidth="1"/>
    <col min="8454" max="8454" width="9.7109375" style="38" bestFit="1" customWidth="1"/>
    <col min="8455" max="8455" width="8.7109375" style="38"/>
    <col min="8456" max="8456" width="25" style="38" customWidth="1"/>
    <col min="8457" max="8457" width="9.5703125" style="38" customWidth="1"/>
    <col min="8458" max="8459" width="8.7109375" style="38"/>
    <col min="8460" max="8460" width="11.28515625" style="38" bestFit="1" customWidth="1"/>
    <col min="8461" max="8461" width="12.140625" style="38" customWidth="1"/>
    <col min="8462" max="8462" width="9.7109375" style="38" customWidth="1"/>
    <col min="8463" max="8463" width="26.5703125" style="38" bestFit="1" customWidth="1"/>
    <col min="8464" max="8464" width="29.28515625" style="38" bestFit="1" customWidth="1"/>
    <col min="8465" max="8474" width="6.7109375" style="38" customWidth="1"/>
    <col min="8475" max="8704" width="8.7109375" style="38"/>
    <col min="8705" max="8705" width="43.7109375" style="38" customWidth="1"/>
    <col min="8706" max="8706" width="12.5703125" style="38" customWidth="1"/>
    <col min="8707" max="8707" width="8.7109375" style="38"/>
    <col min="8708" max="8708" width="11.42578125" style="38" customWidth="1"/>
    <col min="8709" max="8709" width="9.42578125" style="38" customWidth="1"/>
    <col min="8710" max="8710" width="9.7109375" style="38" bestFit="1" customWidth="1"/>
    <col min="8711" max="8711" width="8.7109375" style="38"/>
    <col min="8712" max="8712" width="25" style="38" customWidth="1"/>
    <col min="8713" max="8713" width="9.5703125" style="38" customWidth="1"/>
    <col min="8714" max="8715" width="8.7109375" style="38"/>
    <col min="8716" max="8716" width="11.28515625" style="38" bestFit="1" customWidth="1"/>
    <col min="8717" max="8717" width="12.140625" style="38" customWidth="1"/>
    <col min="8718" max="8718" width="9.7109375" style="38" customWidth="1"/>
    <col min="8719" max="8719" width="26.5703125" style="38" bestFit="1" customWidth="1"/>
    <col min="8720" max="8720" width="29.28515625" style="38" bestFit="1" customWidth="1"/>
    <col min="8721" max="8730" width="6.7109375" style="38" customWidth="1"/>
    <col min="8731" max="8960" width="8.7109375" style="38"/>
    <col min="8961" max="8961" width="43.7109375" style="38" customWidth="1"/>
    <col min="8962" max="8962" width="12.5703125" style="38" customWidth="1"/>
    <col min="8963" max="8963" width="8.7109375" style="38"/>
    <col min="8964" max="8964" width="11.42578125" style="38" customWidth="1"/>
    <col min="8965" max="8965" width="9.42578125" style="38" customWidth="1"/>
    <col min="8966" max="8966" width="9.7109375" style="38" bestFit="1" customWidth="1"/>
    <col min="8967" max="8967" width="8.7109375" style="38"/>
    <col min="8968" max="8968" width="25" style="38" customWidth="1"/>
    <col min="8969" max="8969" width="9.5703125" style="38" customWidth="1"/>
    <col min="8970" max="8971" width="8.7109375" style="38"/>
    <col min="8972" max="8972" width="11.28515625" style="38" bestFit="1" customWidth="1"/>
    <col min="8973" max="8973" width="12.140625" style="38" customWidth="1"/>
    <col min="8974" max="8974" width="9.7109375" style="38" customWidth="1"/>
    <col min="8975" max="8975" width="26.5703125" style="38" bestFit="1" customWidth="1"/>
    <col min="8976" max="8976" width="29.28515625" style="38" bestFit="1" customWidth="1"/>
    <col min="8977" max="8986" width="6.7109375" style="38" customWidth="1"/>
    <col min="8987" max="9216" width="8.7109375" style="38"/>
    <col min="9217" max="9217" width="43.7109375" style="38" customWidth="1"/>
    <col min="9218" max="9218" width="12.5703125" style="38" customWidth="1"/>
    <col min="9219" max="9219" width="8.7109375" style="38"/>
    <col min="9220" max="9220" width="11.42578125" style="38" customWidth="1"/>
    <col min="9221" max="9221" width="9.42578125" style="38" customWidth="1"/>
    <col min="9222" max="9222" width="9.7109375" style="38" bestFit="1" customWidth="1"/>
    <col min="9223" max="9223" width="8.7109375" style="38"/>
    <col min="9224" max="9224" width="25" style="38" customWidth="1"/>
    <col min="9225" max="9225" width="9.5703125" style="38" customWidth="1"/>
    <col min="9226" max="9227" width="8.7109375" style="38"/>
    <col min="9228" max="9228" width="11.28515625" style="38" bestFit="1" customWidth="1"/>
    <col min="9229" max="9229" width="12.140625" style="38" customWidth="1"/>
    <col min="9230" max="9230" width="9.7109375" style="38" customWidth="1"/>
    <col min="9231" max="9231" width="26.5703125" style="38" bestFit="1" customWidth="1"/>
    <col min="9232" max="9232" width="29.28515625" style="38" bestFit="1" customWidth="1"/>
    <col min="9233" max="9242" width="6.7109375" style="38" customWidth="1"/>
    <col min="9243" max="9472" width="8.7109375" style="38"/>
    <col min="9473" max="9473" width="43.7109375" style="38" customWidth="1"/>
    <col min="9474" max="9474" width="12.5703125" style="38" customWidth="1"/>
    <col min="9475" max="9475" width="8.7109375" style="38"/>
    <col min="9476" max="9476" width="11.42578125" style="38" customWidth="1"/>
    <col min="9477" max="9477" width="9.42578125" style="38" customWidth="1"/>
    <col min="9478" max="9478" width="9.7109375" style="38" bestFit="1" customWidth="1"/>
    <col min="9479" max="9479" width="8.7109375" style="38"/>
    <col min="9480" max="9480" width="25" style="38" customWidth="1"/>
    <col min="9481" max="9481" width="9.5703125" style="38" customWidth="1"/>
    <col min="9482" max="9483" width="8.7109375" style="38"/>
    <col min="9484" max="9484" width="11.28515625" style="38" bestFit="1" customWidth="1"/>
    <col min="9485" max="9485" width="12.140625" style="38" customWidth="1"/>
    <col min="9486" max="9486" width="9.7109375" style="38" customWidth="1"/>
    <col min="9487" max="9487" width="26.5703125" style="38" bestFit="1" customWidth="1"/>
    <col min="9488" max="9488" width="29.28515625" style="38" bestFit="1" customWidth="1"/>
    <col min="9489" max="9498" width="6.7109375" style="38" customWidth="1"/>
    <col min="9499" max="9728" width="8.7109375" style="38"/>
    <col min="9729" max="9729" width="43.7109375" style="38" customWidth="1"/>
    <col min="9730" max="9730" width="12.5703125" style="38" customWidth="1"/>
    <col min="9731" max="9731" width="8.7109375" style="38"/>
    <col min="9732" max="9732" width="11.42578125" style="38" customWidth="1"/>
    <col min="9733" max="9733" width="9.42578125" style="38" customWidth="1"/>
    <col min="9734" max="9734" width="9.7109375" style="38" bestFit="1" customWidth="1"/>
    <col min="9735" max="9735" width="8.7109375" style="38"/>
    <col min="9736" max="9736" width="25" style="38" customWidth="1"/>
    <col min="9737" max="9737" width="9.5703125" style="38" customWidth="1"/>
    <col min="9738" max="9739" width="8.7109375" style="38"/>
    <col min="9740" max="9740" width="11.28515625" style="38" bestFit="1" customWidth="1"/>
    <col min="9741" max="9741" width="12.140625" style="38" customWidth="1"/>
    <col min="9742" max="9742" width="9.7109375" style="38" customWidth="1"/>
    <col min="9743" max="9743" width="26.5703125" style="38" bestFit="1" customWidth="1"/>
    <col min="9744" max="9744" width="29.28515625" style="38" bestFit="1" customWidth="1"/>
    <col min="9745" max="9754" width="6.7109375" style="38" customWidth="1"/>
    <col min="9755" max="9984" width="8.7109375" style="38"/>
    <col min="9985" max="9985" width="43.7109375" style="38" customWidth="1"/>
    <col min="9986" max="9986" width="12.5703125" style="38" customWidth="1"/>
    <col min="9987" max="9987" width="8.7109375" style="38"/>
    <col min="9988" max="9988" width="11.42578125" style="38" customWidth="1"/>
    <col min="9989" max="9989" width="9.42578125" style="38" customWidth="1"/>
    <col min="9990" max="9990" width="9.7109375" style="38" bestFit="1" customWidth="1"/>
    <col min="9991" max="9991" width="8.7109375" style="38"/>
    <col min="9992" max="9992" width="25" style="38" customWidth="1"/>
    <col min="9993" max="9993" width="9.5703125" style="38" customWidth="1"/>
    <col min="9994" max="9995" width="8.7109375" style="38"/>
    <col min="9996" max="9996" width="11.28515625" style="38" bestFit="1" customWidth="1"/>
    <col min="9997" max="9997" width="12.140625" style="38" customWidth="1"/>
    <col min="9998" max="9998" width="9.7109375" style="38" customWidth="1"/>
    <col min="9999" max="9999" width="26.5703125" style="38" bestFit="1" customWidth="1"/>
    <col min="10000" max="10000" width="29.28515625" style="38" bestFit="1" customWidth="1"/>
    <col min="10001" max="10010" width="6.7109375" style="38" customWidth="1"/>
    <col min="10011" max="10240" width="8.7109375" style="38"/>
    <col min="10241" max="10241" width="43.7109375" style="38" customWidth="1"/>
    <col min="10242" max="10242" width="12.5703125" style="38" customWidth="1"/>
    <col min="10243" max="10243" width="8.7109375" style="38"/>
    <col min="10244" max="10244" width="11.42578125" style="38" customWidth="1"/>
    <col min="10245" max="10245" width="9.42578125" style="38" customWidth="1"/>
    <col min="10246" max="10246" width="9.7109375" style="38" bestFit="1" customWidth="1"/>
    <col min="10247" max="10247" width="8.7109375" style="38"/>
    <col min="10248" max="10248" width="25" style="38" customWidth="1"/>
    <col min="10249" max="10249" width="9.5703125" style="38" customWidth="1"/>
    <col min="10250" max="10251" width="8.7109375" style="38"/>
    <col min="10252" max="10252" width="11.28515625" style="38" bestFit="1" customWidth="1"/>
    <col min="10253" max="10253" width="12.140625" style="38" customWidth="1"/>
    <col min="10254" max="10254" width="9.7109375" style="38" customWidth="1"/>
    <col min="10255" max="10255" width="26.5703125" style="38" bestFit="1" customWidth="1"/>
    <col min="10256" max="10256" width="29.28515625" style="38" bestFit="1" customWidth="1"/>
    <col min="10257" max="10266" width="6.7109375" style="38" customWidth="1"/>
    <col min="10267" max="10496" width="8.7109375" style="38"/>
    <col min="10497" max="10497" width="43.7109375" style="38" customWidth="1"/>
    <col min="10498" max="10498" width="12.5703125" style="38" customWidth="1"/>
    <col min="10499" max="10499" width="8.7109375" style="38"/>
    <col min="10500" max="10500" width="11.42578125" style="38" customWidth="1"/>
    <col min="10501" max="10501" width="9.42578125" style="38" customWidth="1"/>
    <col min="10502" max="10502" width="9.7109375" style="38" bestFit="1" customWidth="1"/>
    <col min="10503" max="10503" width="8.7109375" style="38"/>
    <col min="10504" max="10504" width="25" style="38" customWidth="1"/>
    <col min="10505" max="10505" width="9.5703125" style="38" customWidth="1"/>
    <col min="10506" max="10507" width="8.7109375" style="38"/>
    <col min="10508" max="10508" width="11.28515625" style="38" bestFit="1" customWidth="1"/>
    <col min="10509" max="10509" width="12.140625" style="38" customWidth="1"/>
    <col min="10510" max="10510" width="9.7109375" style="38" customWidth="1"/>
    <col min="10511" max="10511" width="26.5703125" style="38" bestFit="1" customWidth="1"/>
    <col min="10512" max="10512" width="29.28515625" style="38" bestFit="1" customWidth="1"/>
    <col min="10513" max="10522" width="6.7109375" style="38" customWidth="1"/>
    <col min="10523" max="10752" width="8.7109375" style="38"/>
    <col min="10753" max="10753" width="43.7109375" style="38" customWidth="1"/>
    <col min="10754" max="10754" width="12.5703125" style="38" customWidth="1"/>
    <col min="10755" max="10755" width="8.7109375" style="38"/>
    <col min="10756" max="10756" width="11.42578125" style="38" customWidth="1"/>
    <col min="10757" max="10757" width="9.42578125" style="38" customWidth="1"/>
    <col min="10758" max="10758" width="9.7109375" style="38" bestFit="1" customWidth="1"/>
    <col min="10759" max="10759" width="8.7109375" style="38"/>
    <col min="10760" max="10760" width="25" style="38" customWidth="1"/>
    <col min="10761" max="10761" width="9.5703125" style="38" customWidth="1"/>
    <col min="10762" max="10763" width="8.7109375" style="38"/>
    <col min="10764" max="10764" width="11.28515625" style="38" bestFit="1" customWidth="1"/>
    <col min="10765" max="10765" width="12.140625" style="38" customWidth="1"/>
    <col min="10766" max="10766" width="9.7109375" style="38" customWidth="1"/>
    <col min="10767" max="10767" width="26.5703125" style="38" bestFit="1" customWidth="1"/>
    <col min="10768" max="10768" width="29.28515625" style="38" bestFit="1" customWidth="1"/>
    <col min="10769" max="10778" width="6.7109375" style="38" customWidth="1"/>
    <col min="10779" max="11008" width="8.7109375" style="38"/>
    <col min="11009" max="11009" width="43.7109375" style="38" customWidth="1"/>
    <col min="11010" max="11010" width="12.5703125" style="38" customWidth="1"/>
    <col min="11011" max="11011" width="8.7109375" style="38"/>
    <col min="11012" max="11012" width="11.42578125" style="38" customWidth="1"/>
    <col min="11013" max="11013" width="9.42578125" style="38" customWidth="1"/>
    <col min="11014" max="11014" width="9.7109375" style="38" bestFit="1" customWidth="1"/>
    <col min="11015" max="11015" width="8.7109375" style="38"/>
    <col min="11016" max="11016" width="25" style="38" customWidth="1"/>
    <col min="11017" max="11017" width="9.5703125" style="38" customWidth="1"/>
    <col min="11018" max="11019" width="8.7109375" style="38"/>
    <col min="11020" max="11020" width="11.28515625" style="38" bestFit="1" customWidth="1"/>
    <col min="11021" max="11021" width="12.140625" style="38" customWidth="1"/>
    <col min="11022" max="11022" width="9.7109375" style="38" customWidth="1"/>
    <col min="11023" max="11023" width="26.5703125" style="38" bestFit="1" customWidth="1"/>
    <col min="11024" max="11024" width="29.28515625" style="38" bestFit="1" customWidth="1"/>
    <col min="11025" max="11034" width="6.7109375" style="38" customWidth="1"/>
    <col min="11035" max="11264" width="8.7109375" style="38"/>
    <col min="11265" max="11265" width="43.7109375" style="38" customWidth="1"/>
    <col min="11266" max="11266" width="12.5703125" style="38" customWidth="1"/>
    <col min="11267" max="11267" width="8.7109375" style="38"/>
    <col min="11268" max="11268" width="11.42578125" style="38" customWidth="1"/>
    <col min="11269" max="11269" width="9.42578125" style="38" customWidth="1"/>
    <col min="11270" max="11270" width="9.7109375" style="38" bestFit="1" customWidth="1"/>
    <col min="11271" max="11271" width="8.7109375" style="38"/>
    <col min="11272" max="11272" width="25" style="38" customWidth="1"/>
    <col min="11273" max="11273" width="9.5703125" style="38" customWidth="1"/>
    <col min="11274" max="11275" width="8.7109375" style="38"/>
    <col min="11276" max="11276" width="11.28515625" style="38" bestFit="1" customWidth="1"/>
    <col min="11277" max="11277" width="12.140625" style="38" customWidth="1"/>
    <col min="11278" max="11278" width="9.7109375" style="38" customWidth="1"/>
    <col min="11279" max="11279" width="26.5703125" style="38" bestFit="1" customWidth="1"/>
    <col min="11280" max="11280" width="29.28515625" style="38" bestFit="1" customWidth="1"/>
    <col min="11281" max="11290" width="6.7109375" style="38" customWidth="1"/>
    <col min="11291" max="11520" width="8.7109375" style="38"/>
    <col min="11521" max="11521" width="43.7109375" style="38" customWidth="1"/>
    <col min="11522" max="11522" width="12.5703125" style="38" customWidth="1"/>
    <col min="11523" max="11523" width="8.7109375" style="38"/>
    <col min="11524" max="11524" width="11.42578125" style="38" customWidth="1"/>
    <col min="11525" max="11525" width="9.42578125" style="38" customWidth="1"/>
    <col min="11526" max="11526" width="9.7109375" style="38" bestFit="1" customWidth="1"/>
    <col min="11527" max="11527" width="8.7109375" style="38"/>
    <col min="11528" max="11528" width="25" style="38" customWidth="1"/>
    <col min="11529" max="11529" width="9.5703125" style="38" customWidth="1"/>
    <col min="11530" max="11531" width="8.7109375" style="38"/>
    <col min="11532" max="11532" width="11.28515625" style="38" bestFit="1" customWidth="1"/>
    <col min="11533" max="11533" width="12.140625" style="38" customWidth="1"/>
    <col min="11534" max="11534" width="9.7109375" style="38" customWidth="1"/>
    <col min="11535" max="11535" width="26.5703125" style="38" bestFit="1" customWidth="1"/>
    <col min="11536" max="11536" width="29.28515625" style="38" bestFit="1" customWidth="1"/>
    <col min="11537" max="11546" width="6.7109375" style="38" customWidth="1"/>
    <col min="11547" max="11776" width="8.7109375" style="38"/>
    <col min="11777" max="11777" width="43.7109375" style="38" customWidth="1"/>
    <col min="11778" max="11778" width="12.5703125" style="38" customWidth="1"/>
    <col min="11779" max="11779" width="8.7109375" style="38"/>
    <col min="11780" max="11780" width="11.42578125" style="38" customWidth="1"/>
    <col min="11781" max="11781" width="9.42578125" style="38" customWidth="1"/>
    <col min="11782" max="11782" width="9.7109375" style="38" bestFit="1" customWidth="1"/>
    <col min="11783" max="11783" width="8.7109375" style="38"/>
    <col min="11784" max="11784" width="25" style="38" customWidth="1"/>
    <col min="11785" max="11785" width="9.5703125" style="38" customWidth="1"/>
    <col min="11786" max="11787" width="8.7109375" style="38"/>
    <col min="11788" max="11788" width="11.28515625" style="38" bestFit="1" customWidth="1"/>
    <col min="11789" max="11789" width="12.140625" style="38" customWidth="1"/>
    <col min="11790" max="11790" width="9.7109375" style="38" customWidth="1"/>
    <col min="11791" max="11791" width="26.5703125" style="38" bestFit="1" customWidth="1"/>
    <col min="11792" max="11792" width="29.28515625" style="38" bestFit="1" customWidth="1"/>
    <col min="11793" max="11802" width="6.7109375" style="38" customWidth="1"/>
    <col min="11803" max="12032" width="8.7109375" style="38"/>
    <col min="12033" max="12033" width="43.7109375" style="38" customWidth="1"/>
    <col min="12034" max="12034" width="12.5703125" style="38" customWidth="1"/>
    <col min="12035" max="12035" width="8.7109375" style="38"/>
    <col min="12036" max="12036" width="11.42578125" style="38" customWidth="1"/>
    <col min="12037" max="12037" width="9.42578125" style="38" customWidth="1"/>
    <col min="12038" max="12038" width="9.7109375" style="38" bestFit="1" customWidth="1"/>
    <col min="12039" max="12039" width="8.7109375" style="38"/>
    <col min="12040" max="12040" width="25" style="38" customWidth="1"/>
    <col min="12041" max="12041" width="9.5703125" style="38" customWidth="1"/>
    <col min="12042" max="12043" width="8.7109375" style="38"/>
    <col min="12044" max="12044" width="11.28515625" style="38" bestFit="1" customWidth="1"/>
    <col min="12045" max="12045" width="12.140625" style="38" customWidth="1"/>
    <col min="12046" max="12046" width="9.7109375" style="38" customWidth="1"/>
    <col min="12047" max="12047" width="26.5703125" style="38" bestFit="1" customWidth="1"/>
    <col min="12048" max="12048" width="29.28515625" style="38" bestFit="1" customWidth="1"/>
    <col min="12049" max="12058" width="6.7109375" style="38" customWidth="1"/>
    <col min="12059" max="12288" width="8.7109375" style="38"/>
    <col min="12289" max="12289" width="43.7109375" style="38" customWidth="1"/>
    <col min="12290" max="12290" width="12.5703125" style="38" customWidth="1"/>
    <col min="12291" max="12291" width="8.7109375" style="38"/>
    <col min="12292" max="12292" width="11.42578125" style="38" customWidth="1"/>
    <col min="12293" max="12293" width="9.42578125" style="38" customWidth="1"/>
    <col min="12294" max="12294" width="9.7109375" style="38" bestFit="1" customWidth="1"/>
    <col min="12295" max="12295" width="8.7109375" style="38"/>
    <col min="12296" max="12296" width="25" style="38" customWidth="1"/>
    <col min="12297" max="12297" width="9.5703125" style="38" customWidth="1"/>
    <col min="12298" max="12299" width="8.7109375" style="38"/>
    <col min="12300" max="12300" width="11.28515625" style="38" bestFit="1" customWidth="1"/>
    <col min="12301" max="12301" width="12.140625" style="38" customWidth="1"/>
    <col min="12302" max="12302" width="9.7109375" style="38" customWidth="1"/>
    <col min="12303" max="12303" width="26.5703125" style="38" bestFit="1" customWidth="1"/>
    <col min="12304" max="12304" width="29.28515625" style="38" bestFit="1" customWidth="1"/>
    <col min="12305" max="12314" width="6.7109375" style="38" customWidth="1"/>
    <col min="12315" max="12544" width="8.7109375" style="38"/>
    <col min="12545" max="12545" width="43.7109375" style="38" customWidth="1"/>
    <col min="12546" max="12546" width="12.5703125" style="38" customWidth="1"/>
    <col min="12547" max="12547" width="8.7109375" style="38"/>
    <col min="12548" max="12548" width="11.42578125" style="38" customWidth="1"/>
    <col min="12549" max="12549" width="9.42578125" style="38" customWidth="1"/>
    <col min="12550" max="12550" width="9.7109375" style="38" bestFit="1" customWidth="1"/>
    <col min="12551" max="12551" width="8.7109375" style="38"/>
    <col min="12552" max="12552" width="25" style="38" customWidth="1"/>
    <col min="12553" max="12553" width="9.5703125" style="38" customWidth="1"/>
    <col min="12554" max="12555" width="8.7109375" style="38"/>
    <col min="12556" max="12556" width="11.28515625" style="38" bestFit="1" customWidth="1"/>
    <col min="12557" max="12557" width="12.140625" style="38" customWidth="1"/>
    <col min="12558" max="12558" width="9.7109375" style="38" customWidth="1"/>
    <col min="12559" max="12559" width="26.5703125" style="38" bestFit="1" customWidth="1"/>
    <col min="12560" max="12560" width="29.28515625" style="38" bestFit="1" customWidth="1"/>
    <col min="12561" max="12570" width="6.7109375" style="38" customWidth="1"/>
    <col min="12571" max="12800" width="8.7109375" style="38"/>
    <col min="12801" max="12801" width="43.7109375" style="38" customWidth="1"/>
    <col min="12802" max="12802" width="12.5703125" style="38" customWidth="1"/>
    <col min="12803" max="12803" width="8.7109375" style="38"/>
    <col min="12804" max="12804" width="11.42578125" style="38" customWidth="1"/>
    <col min="12805" max="12805" width="9.42578125" style="38" customWidth="1"/>
    <col min="12806" max="12806" width="9.7109375" style="38" bestFit="1" customWidth="1"/>
    <col min="12807" max="12807" width="8.7109375" style="38"/>
    <col min="12808" max="12808" width="25" style="38" customWidth="1"/>
    <col min="12809" max="12809" width="9.5703125" style="38" customWidth="1"/>
    <col min="12810" max="12811" width="8.7109375" style="38"/>
    <col min="12812" max="12812" width="11.28515625" style="38" bestFit="1" customWidth="1"/>
    <col min="12813" max="12813" width="12.140625" style="38" customWidth="1"/>
    <col min="12814" max="12814" width="9.7109375" style="38" customWidth="1"/>
    <col min="12815" max="12815" width="26.5703125" style="38" bestFit="1" customWidth="1"/>
    <col min="12816" max="12816" width="29.28515625" style="38" bestFit="1" customWidth="1"/>
    <col min="12817" max="12826" width="6.7109375" style="38" customWidth="1"/>
    <col min="12827" max="13056" width="8.7109375" style="38"/>
    <col min="13057" max="13057" width="43.7109375" style="38" customWidth="1"/>
    <col min="13058" max="13058" width="12.5703125" style="38" customWidth="1"/>
    <col min="13059" max="13059" width="8.7109375" style="38"/>
    <col min="13060" max="13060" width="11.42578125" style="38" customWidth="1"/>
    <col min="13061" max="13061" width="9.42578125" style="38" customWidth="1"/>
    <col min="13062" max="13062" width="9.7109375" style="38" bestFit="1" customWidth="1"/>
    <col min="13063" max="13063" width="8.7109375" style="38"/>
    <col min="13064" max="13064" width="25" style="38" customWidth="1"/>
    <col min="13065" max="13065" width="9.5703125" style="38" customWidth="1"/>
    <col min="13066" max="13067" width="8.7109375" style="38"/>
    <col min="13068" max="13068" width="11.28515625" style="38" bestFit="1" customWidth="1"/>
    <col min="13069" max="13069" width="12.140625" style="38" customWidth="1"/>
    <col min="13070" max="13070" width="9.7109375" style="38" customWidth="1"/>
    <col min="13071" max="13071" width="26.5703125" style="38" bestFit="1" customWidth="1"/>
    <col min="13072" max="13072" width="29.28515625" style="38" bestFit="1" customWidth="1"/>
    <col min="13073" max="13082" width="6.7109375" style="38" customWidth="1"/>
    <col min="13083" max="13312" width="8.7109375" style="38"/>
    <col min="13313" max="13313" width="43.7109375" style="38" customWidth="1"/>
    <col min="13314" max="13314" width="12.5703125" style="38" customWidth="1"/>
    <col min="13315" max="13315" width="8.7109375" style="38"/>
    <col min="13316" max="13316" width="11.42578125" style="38" customWidth="1"/>
    <col min="13317" max="13317" width="9.42578125" style="38" customWidth="1"/>
    <col min="13318" max="13318" width="9.7109375" style="38" bestFit="1" customWidth="1"/>
    <col min="13319" max="13319" width="8.7109375" style="38"/>
    <col min="13320" max="13320" width="25" style="38" customWidth="1"/>
    <col min="13321" max="13321" width="9.5703125" style="38" customWidth="1"/>
    <col min="13322" max="13323" width="8.7109375" style="38"/>
    <col min="13324" max="13324" width="11.28515625" style="38" bestFit="1" customWidth="1"/>
    <col min="13325" max="13325" width="12.140625" style="38" customWidth="1"/>
    <col min="13326" max="13326" width="9.7109375" style="38" customWidth="1"/>
    <col min="13327" max="13327" width="26.5703125" style="38" bestFit="1" customWidth="1"/>
    <col min="13328" max="13328" width="29.28515625" style="38" bestFit="1" customWidth="1"/>
    <col min="13329" max="13338" width="6.7109375" style="38" customWidth="1"/>
    <col min="13339" max="13568" width="8.7109375" style="38"/>
    <col min="13569" max="13569" width="43.7109375" style="38" customWidth="1"/>
    <col min="13570" max="13570" width="12.5703125" style="38" customWidth="1"/>
    <col min="13571" max="13571" width="8.7109375" style="38"/>
    <col min="13572" max="13572" width="11.42578125" style="38" customWidth="1"/>
    <col min="13573" max="13573" width="9.42578125" style="38" customWidth="1"/>
    <col min="13574" max="13574" width="9.7109375" style="38" bestFit="1" customWidth="1"/>
    <col min="13575" max="13575" width="8.7109375" style="38"/>
    <col min="13576" max="13576" width="25" style="38" customWidth="1"/>
    <col min="13577" max="13577" width="9.5703125" style="38" customWidth="1"/>
    <col min="13578" max="13579" width="8.7109375" style="38"/>
    <col min="13580" max="13580" width="11.28515625" style="38" bestFit="1" customWidth="1"/>
    <col min="13581" max="13581" width="12.140625" style="38" customWidth="1"/>
    <col min="13582" max="13582" width="9.7109375" style="38" customWidth="1"/>
    <col min="13583" max="13583" width="26.5703125" style="38" bestFit="1" customWidth="1"/>
    <col min="13584" max="13584" width="29.28515625" style="38" bestFit="1" customWidth="1"/>
    <col min="13585" max="13594" width="6.7109375" style="38" customWidth="1"/>
    <col min="13595" max="13824" width="8.7109375" style="38"/>
    <col min="13825" max="13825" width="43.7109375" style="38" customWidth="1"/>
    <col min="13826" max="13826" width="12.5703125" style="38" customWidth="1"/>
    <col min="13827" max="13827" width="8.7109375" style="38"/>
    <col min="13828" max="13828" width="11.42578125" style="38" customWidth="1"/>
    <col min="13829" max="13829" width="9.42578125" style="38" customWidth="1"/>
    <col min="13830" max="13830" width="9.7109375" style="38" bestFit="1" customWidth="1"/>
    <col min="13831" max="13831" width="8.7109375" style="38"/>
    <col min="13832" max="13832" width="25" style="38" customWidth="1"/>
    <col min="13833" max="13833" width="9.5703125" style="38" customWidth="1"/>
    <col min="13834" max="13835" width="8.7109375" style="38"/>
    <col min="13836" max="13836" width="11.28515625" style="38" bestFit="1" customWidth="1"/>
    <col min="13837" max="13837" width="12.140625" style="38" customWidth="1"/>
    <col min="13838" max="13838" width="9.7109375" style="38" customWidth="1"/>
    <col min="13839" max="13839" width="26.5703125" style="38" bestFit="1" customWidth="1"/>
    <col min="13840" max="13840" width="29.28515625" style="38" bestFit="1" customWidth="1"/>
    <col min="13841" max="13850" width="6.7109375" style="38" customWidth="1"/>
    <col min="13851" max="14080" width="8.7109375" style="38"/>
    <col min="14081" max="14081" width="43.7109375" style="38" customWidth="1"/>
    <col min="14082" max="14082" width="12.5703125" style="38" customWidth="1"/>
    <col min="14083" max="14083" width="8.7109375" style="38"/>
    <col min="14084" max="14084" width="11.42578125" style="38" customWidth="1"/>
    <col min="14085" max="14085" width="9.42578125" style="38" customWidth="1"/>
    <col min="14086" max="14086" width="9.7109375" style="38" bestFit="1" customWidth="1"/>
    <col min="14087" max="14087" width="8.7109375" style="38"/>
    <col min="14088" max="14088" width="25" style="38" customWidth="1"/>
    <col min="14089" max="14089" width="9.5703125" style="38" customWidth="1"/>
    <col min="14090" max="14091" width="8.7109375" style="38"/>
    <col min="14092" max="14092" width="11.28515625" style="38" bestFit="1" customWidth="1"/>
    <col min="14093" max="14093" width="12.140625" style="38" customWidth="1"/>
    <col min="14094" max="14094" width="9.7109375" style="38" customWidth="1"/>
    <col min="14095" max="14095" width="26.5703125" style="38" bestFit="1" customWidth="1"/>
    <col min="14096" max="14096" width="29.28515625" style="38" bestFit="1" customWidth="1"/>
    <col min="14097" max="14106" width="6.7109375" style="38" customWidth="1"/>
    <col min="14107" max="14336" width="8.7109375" style="38"/>
    <col min="14337" max="14337" width="43.7109375" style="38" customWidth="1"/>
    <col min="14338" max="14338" width="12.5703125" style="38" customWidth="1"/>
    <col min="14339" max="14339" width="8.7109375" style="38"/>
    <col min="14340" max="14340" width="11.42578125" style="38" customWidth="1"/>
    <col min="14341" max="14341" width="9.42578125" style="38" customWidth="1"/>
    <col min="14342" max="14342" width="9.7109375" style="38" bestFit="1" customWidth="1"/>
    <col min="14343" max="14343" width="8.7109375" style="38"/>
    <col min="14344" max="14344" width="25" style="38" customWidth="1"/>
    <col min="14345" max="14345" width="9.5703125" style="38" customWidth="1"/>
    <col min="14346" max="14347" width="8.7109375" style="38"/>
    <col min="14348" max="14348" width="11.28515625" style="38" bestFit="1" customWidth="1"/>
    <col min="14349" max="14349" width="12.140625" style="38" customWidth="1"/>
    <col min="14350" max="14350" width="9.7109375" style="38" customWidth="1"/>
    <col min="14351" max="14351" width="26.5703125" style="38" bestFit="1" customWidth="1"/>
    <col min="14352" max="14352" width="29.28515625" style="38" bestFit="1" customWidth="1"/>
    <col min="14353" max="14362" width="6.7109375" style="38" customWidth="1"/>
    <col min="14363" max="14592" width="8.7109375" style="38"/>
    <col min="14593" max="14593" width="43.7109375" style="38" customWidth="1"/>
    <col min="14594" max="14594" width="12.5703125" style="38" customWidth="1"/>
    <col min="14595" max="14595" width="8.7109375" style="38"/>
    <col min="14596" max="14596" width="11.42578125" style="38" customWidth="1"/>
    <col min="14597" max="14597" width="9.42578125" style="38" customWidth="1"/>
    <col min="14598" max="14598" width="9.7109375" style="38" bestFit="1" customWidth="1"/>
    <col min="14599" max="14599" width="8.7109375" style="38"/>
    <col min="14600" max="14600" width="25" style="38" customWidth="1"/>
    <col min="14601" max="14601" width="9.5703125" style="38" customWidth="1"/>
    <col min="14602" max="14603" width="8.7109375" style="38"/>
    <col min="14604" max="14604" width="11.28515625" style="38" bestFit="1" customWidth="1"/>
    <col min="14605" max="14605" width="12.140625" style="38" customWidth="1"/>
    <col min="14606" max="14606" width="9.7109375" style="38" customWidth="1"/>
    <col min="14607" max="14607" width="26.5703125" style="38" bestFit="1" customWidth="1"/>
    <col min="14608" max="14608" width="29.28515625" style="38" bestFit="1" customWidth="1"/>
    <col min="14609" max="14618" width="6.7109375" style="38" customWidth="1"/>
    <col min="14619" max="14848" width="8.7109375" style="38"/>
    <col min="14849" max="14849" width="43.7109375" style="38" customWidth="1"/>
    <col min="14850" max="14850" width="12.5703125" style="38" customWidth="1"/>
    <col min="14851" max="14851" width="8.7109375" style="38"/>
    <col min="14852" max="14852" width="11.42578125" style="38" customWidth="1"/>
    <col min="14853" max="14853" width="9.42578125" style="38" customWidth="1"/>
    <col min="14854" max="14854" width="9.7109375" style="38" bestFit="1" customWidth="1"/>
    <col min="14855" max="14855" width="8.7109375" style="38"/>
    <col min="14856" max="14856" width="25" style="38" customWidth="1"/>
    <col min="14857" max="14857" width="9.5703125" style="38" customWidth="1"/>
    <col min="14858" max="14859" width="8.7109375" style="38"/>
    <col min="14860" max="14860" width="11.28515625" style="38" bestFit="1" customWidth="1"/>
    <col min="14861" max="14861" width="12.140625" style="38" customWidth="1"/>
    <col min="14862" max="14862" width="9.7109375" style="38" customWidth="1"/>
    <col min="14863" max="14863" width="26.5703125" style="38" bestFit="1" customWidth="1"/>
    <col min="14864" max="14864" width="29.28515625" style="38" bestFit="1" customWidth="1"/>
    <col min="14865" max="14874" width="6.7109375" style="38" customWidth="1"/>
    <col min="14875" max="15104" width="8.7109375" style="38"/>
    <col min="15105" max="15105" width="43.7109375" style="38" customWidth="1"/>
    <col min="15106" max="15106" width="12.5703125" style="38" customWidth="1"/>
    <col min="15107" max="15107" width="8.7109375" style="38"/>
    <col min="15108" max="15108" width="11.42578125" style="38" customWidth="1"/>
    <col min="15109" max="15109" width="9.42578125" style="38" customWidth="1"/>
    <col min="15110" max="15110" width="9.7109375" style="38" bestFit="1" customWidth="1"/>
    <col min="15111" max="15111" width="8.7109375" style="38"/>
    <col min="15112" max="15112" width="25" style="38" customWidth="1"/>
    <col min="15113" max="15113" width="9.5703125" style="38" customWidth="1"/>
    <col min="15114" max="15115" width="8.7109375" style="38"/>
    <col min="15116" max="15116" width="11.28515625" style="38" bestFit="1" customWidth="1"/>
    <col min="15117" max="15117" width="12.140625" style="38" customWidth="1"/>
    <col min="15118" max="15118" width="9.7109375" style="38" customWidth="1"/>
    <col min="15119" max="15119" width="26.5703125" style="38" bestFit="1" customWidth="1"/>
    <col min="15120" max="15120" width="29.28515625" style="38" bestFit="1" customWidth="1"/>
    <col min="15121" max="15130" width="6.7109375" style="38" customWidth="1"/>
    <col min="15131" max="15360" width="8.7109375" style="38"/>
    <col min="15361" max="15361" width="43.7109375" style="38" customWidth="1"/>
    <col min="15362" max="15362" width="12.5703125" style="38" customWidth="1"/>
    <col min="15363" max="15363" width="8.7109375" style="38"/>
    <col min="15364" max="15364" width="11.42578125" style="38" customWidth="1"/>
    <col min="15365" max="15365" width="9.42578125" style="38" customWidth="1"/>
    <col min="15366" max="15366" width="9.7109375" style="38" bestFit="1" customWidth="1"/>
    <col min="15367" max="15367" width="8.7109375" style="38"/>
    <col min="15368" max="15368" width="25" style="38" customWidth="1"/>
    <col min="15369" max="15369" width="9.5703125" style="38" customWidth="1"/>
    <col min="15370" max="15371" width="8.7109375" style="38"/>
    <col min="15372" max="15372" width="11.28515625" style="38" bestFit="1" customWidth="1"/>
    <col min="15373" max="15373" width="12.140625" style="38" customWidth="1"/>
    <col min="15374" max="15374" width="9.7109375" style="38" customWidth="1"/>
    <col min="15375" max="15375" width="26.5703125" style="38" bestFit="1" customWidth="1"/>
    <col min="15376" max="15376" width="29.28515625" style="38" bestFit="1" customWidth="1"/>
    <col min="15377" max="15386" width="6.7109375" style="38" customWidth="1"/>
    <col min="15387" max="15616" width="8.7109375" style="38"/>
    <col min="15617" max="15617" width="43.7109375" style="38" customWidth="1"/>
    <col min="15618" max="15618" width="12.5703125" style="38" customWidth="1"/>
    <col min="15619" max="15619" width="8.7109375" style="38"/>
    <col min="15620" max="15620" width="11.42578125" style="38" customWidth="1"/>
    <col min="15621" max="15621" width="9.42578125" style="38" customWidth="1"/>
    <col min="15622" max="15622" width="9.7109375" style="38" bestFit="1" customWidth="1"/>
    <col min="15623" max="15623" width="8.7109375" style="38"/>
    <col min="15624" max="15624" width="25" style="38" customWidth="1"/>
    <col min="15625" max="15625" width="9.5703125" style="38" customWidth="1"/>
    <col min="15626" max="15627" width="8.7109375" style="38"/>
    <col min="15628" max="15628" width="11.28515625" style="38" bestFit="1" customWidth="1"/>
    <col min="15629" max="15629" width="12.140625" style="38" customWidth="1"/>
    <col min="15630" max="15630" width="9.7109375" style="38" customWidth="1"/>
    <col min="15631" max="15631" width="26.5703125" style="38" bestFit="1" customWidth="1"/>
    <col min="15632" max="15632" width="29.28515625" style="38" bestFit="1" customWidth="1"/>
    <col min="15633" max="15642" width="6.7109375" style="38" customWidth="1"/>
    <col min="15643" max="15872" width="8.7109375" style="38"/>
    <col min="15873" max="15873" width="43.7109375" style="38" customWidth="1"/>
    <col min="15874" max="15874" width="12.5703125" style="38" customWidth="1"/>
    <col min="15875" max="15875" width="8.7109375" style="38"/>
    <col min="15876" max="15876" width="11.42578125" style="38" customWidth="1"/>
    <col min="15877" max="15877" width="9.42578125" style="38" customWidth="1"/>
    <col min="15878" max="15878" width="9.7109375" style="38" bestFit="1" customWidth="1"/>
    <col min="15879" max="15879" width="8.7109375" style="38"/>
    <col min="15880" max="15880" width="25" style="38" customWidth="1"/>
    <col min="15881" max="15881" width="9.5703125" style="38" customWidth="1"/>
    <col min="15882" max="15883" width="8.7109375" style="38"/>
    <col min="15884" max="15884" width="11.28515625" style="38" bestFit="1" customWidth="1"/>
    <col min="15885" max="15885" width="12.140625" style="38" customWidth="1"/>
    <col min="15886" max="15886" width="9.7109375" style="38" customWidth="1"/>
    <col min="15887" max="15887" width="26.5703125" style="38" bestFit="1" customWidth="1"/>
    <col min="15888" max="15888" width="29.28515625" style="38" bestFit="1" customWidth="1"/>
    <col min="15889" max="15898" width="6.7109375" style="38" customWidth="1"/>
    <col min="15899" max="16128" width="8.7109375" style="38"/>
    <col min="16129" max="16129" width="43.7109375" style="38" customWidth="1"/>
    <col min="16130" max="16130" width="12.5703125" style="38" customWidth="1"/>
    <col min="16131" max="16131" width="8.7109375" style="38"/>
    <col min="16132" max="16132" width="11.42578125" style="38" customWidth="1"/>
    <col min="16133" max="16133" width="9.42578125" style="38" customWidth="1"/>
    <col min="16134" max="16134" width="9.7109375" style="38" bestFit="1" customWidth="1"/>
    <col min="16135" max="16135" width="8.7109375" style="38"/>
    <col min="16136" max="16136" width="25" style="38" customWidth="1"/>
    <col min="16137" max="16137" width="9.5703125" style="38" customWidth="1"/>
    <col min="16138" max="16139" width="8.7109375" style="38"/>
    <col min="16140" max="16140" width="11.28515625" style="38" bestFit="1" customWidth="1"/>
    <col min="16141" max="16141" width="12.140625" style="38" customWidth="1"/>
    <col min="16142" max="16142" width="9.7109375" style="38" customWidth="1"/>
    <col min="16143" max="16143" width="26.5703125" style="38" bestFit="1" customWidth="1"/>
    <col min="16144" max="16144" width="29.28515625" style="38" bestFit="1" customWidth="1"/>
    <col min="16145" max="16154" width="6.7109375" style="38" customWidth="1"/>
    <col min="16155" max="16384" width="8.7109375" style="38"/>
  </cols>
  <sheetData>
    <row r="1" spans="1:14" ht="24.95" customHeight="1" x14ac:dyDescent="0.25">
      <c r="A1" s="1" t="s">
        <v>0</v>
      </c>
      <c r="B1" s="1">
        <v>3</v>
      </c>
      <c r="C1" s="2" t="s">
        <v>211</v>
      </c>
      <c r="H1" s="4" t="s">
        <v>2</v>
      </c>
      <c r="I1" s="5"/>
      <c r="J1" s="3"/>
      <c r="K1" s="3"/>
      <c r="L1" s="3"/>
      <c r="M1" s="3"/>
      <c r="N1" s="3"/>
    </row>
    <row r="2" spans="1:14" ht="15" customHeight="1" x14ac:dyDescent="0.25">
      <c r="A2" s="6"/>
      <c r="B2" s="7" t="s">
        <v>3</v>
      </c>
      <c r="C2" s="8"/>
      <c r="D2" s="292" t="s">
        <v>4</v>
      </c>
      <c r="E2" s="293"/>
      <c r="F2" s="294" t="s">
        <v>5</v>
      </c>
      <c r="H2" s="3"/>
      <c r="I2" s="3"/>
      <c r="J2" s="3"/>
      <c r="K2" s="3"/>
      <c r="L2" s="3"/>
      <c r="M2" s="3"/>
      <c r="N2" s="3"/>
    </row>
    <row r="3" spans="1:14" ht="15" customHeight="1" x14ac:dyDescent="0.25">
      <c r="A3" s="9" t="s">
        <v>6</v>
      </c>
      <c r="B3" s="285">
        <v>57227.8459584394</v>
      </c>
      <c r="C3" s="10">
        <f>SUM(C4:C5)</f>
        <v>1</v>
      </c>
      <c r="D3" s="297" t="e">
        <f>SUM(D4:D5)</f>
        <v>#VALUE!</v>
      </c>
      <c r="E3" s="296" t="e">
        <f>D3/$D$3</f>
        <v>#VALUE!</v>
      </c>
      <c r="F3" s="298" t="s">
        <v>7</v>
      </c>
      <c r="H3" s="9" t="s">
        <v>8</v>
      </c>
      <c r="I3" s="11">
        <v>0</v>
      </c>
      <c r="J3" s="12" t="s">
        <v>9</v>
      </c>
      <c r="K3" s="3"/>
      <c r="L3" s="13" t="s">
        <v>10</v>
      </c>
      <c r="M3" s="14">
        <v>0.7</v>
      </c>
      <c r="N3" s="15">
        <f>M3*B3</f>
        <v>40059.492170907579</v>
      </c>
    </row>
    <row r="4" spans="1:14" ht="15" customHeight="1" x14ac:dyDescent="0.25">
      <c r="A4" s="16" t="s">
        <v>11</v>
      </c>
      <c r="B4" s="17">
        <f>C4*B3</f>
        <v>48944.11489363655</v>
      </c>
      <c r="C4" s="18">
        <v>0.85524999366883825</v>
      </c>
      <c r="D4" s="307" t="e">
        <f>SUMIFS([19]Ram!G2:G993,[19]Ram!C2:C993,230,[19]Ram!F2:F993,"S")</f>
        <v>#VALUE!</v>
      </c>
      <c r="E4" s="308" t="e">
        <f>D4/$D$3</f>
        <v>#VALUE!</v>
      </c>
      <c r="F4" s="309" t="e">
        <f>B4/D4</f>
        <v>#VALUE!</v>
      </c>
      <c r="H4" s="3"/>
      <c r="I4" s="3"/>
      <c r="J4" s="3"/>
      <c r="K4" s="3"/>
      <c r="L4" s="13" t="s">
        <v>12</v>
      </c>
      <c r="M4" s="14">
        <v>0.3</v>
      </c>
      <c r="N4" s="15">
        <f>M4*B3</f>
        <v>17168.353787531818</v>
      </c>
    </row>
    <row r="5" spans="1:14" ht="15" customHeight="1" x14ac:dyDescent="0.25">
      <c r="A5" s="19" t="s">
        <v>13</v>
      </c>
      <c r="B5" s="20">
        <f>C5*B3</f>
        <v>8283.7310648028524</v>
      </c>
      <c r="C5" s="21">
        <f>1-C4</f>
        <v>0.14475000633116175</v>
      </c>
      <c r="D5" s="313" t="e">
        <f>SUMIFS([19]Ram!G2:G993,[19]Ram!C2:C993,115,[19]Ram!F2:F993,"S")</f>
        <v>#VALUE!</v>
      </c>
      <c r="E5" s="314" t="e">
        <f>D5/$D$3</f>
        <v>#VALUE!</v>
      </c>
      <c r="F5" s="315" t="e">
        <f>B5/D5</f>
        <v>#VALUE!</v>
      </c>
      <c r="H5" s="3"/>
      <c r="I5" s="3"/>
      <c r="J5" s="3"/>
      <c r="K5" s="3"/>
      <c r="L5" s="3"/>
      <c r="M5" s="3"/>
      <c r="N5" s="3"/>
    </row>
    <row r="6" spans="1:14" ht="15" customHeight="1" x14ac:dyDescent="0.25">
      <c r="A6" s="22"/>
      <c r="B6" s="22"/>
      <c r="C6" s="23"/>
      <c r="E6" s="316"/>
      <c r="H6" s="3"/>
      <c r="I6" s="3"/>
      <c r="J6" s="3"/>
      <c r="K6" s="3"/>
      <c r="L6" s="24" t="s">
        <v>14</v>
      </c>
      <c r="M6" s="25">
        <f>[19]ENERGIA!L17</f>
        <v>0</v>
      </c>
      <c r="N6" s="26" t="s">
        <v>15</v>
      </c>
    </row>
    <row r="7" spans="1:14" ht="15" customHeight="1" x14ac:dyDescent="0.25">
      <c r="A7" s="27" t="s">
        <v>16</v>
      </c>
      <c r="B7" s="285">
        <v>36690.579958236798</v>
      </c>
      <c r="C7" s="10">
        <v>1</v>
      </c>
      <c r="D7" s="320" t="e">
        <f>SUMIF([19]Ram!F3:F993,"SD",[19]Ram!G3:G993)</f>
        <v>#VALUE!</v>
      </c>
      <c r="E7" s="296">
        <v>1</v>
      </c>
      <c r="F7" s="321" t="e">
        <f>IF(B7&gt;0,B7/D7,0)</f>
        <v>#VALUE!</v>
      </c>
      <c r="G7" s="38" t="s">
        <v>295</v>
      </c>
      <c r="H7" s="9" t="s">
        <v>17</v>
      </c>
      <c r="I7" s="11">
        <v>0</v>
      </c>
      <c r="J7" s="12" t="s">
        <v>9</v>
      </c>
      <c r="K7" s="3"/>
      <c r="L7" s="28" t="s">
        <v>18</v>
      </c>
      <c r="M7" s="29">
        <f>[19]ENERGIA!L2</f>
        <v>0</v>
      </c>
      <c r="N7" s="30" t="s">
        <v>15</v>
      </c>
    </row>
    <row r="9" spans="1:14" ht="15" customHeight="1" x14ac:dyDescent="0.25">
      <c r="A9" s="496" t="s">
        <v>19</v>
      </c>
      <c r="B9" s="496"/>
      <c r="C9" s="496"/>
      <c r="D9" s="496"/>
      <c r="E9" s="496"/>
      <c r="F9" s="496"/>
      <c r="G9" s="496"/>
      <c r="H9" s="496"/>
      <c r="I9" s="496"/>
      <c r="J9" s="496"/>
      <c r="K9" s="496"/>
      <c r="L9" s="496"/>
    </row>
    <row r="10" spans="1:14" ht="15" customHeight="1" x14ac:dyDescent="0.25">
      <c r="A10" s="325" t="s">
        <v>20</v>
      </c>
      <c r="B10" s="326">
        <v>1</v>
      </c>
      <c r="C10" s="327">
        <v>2</v>
      </c>
      <c r="D10" s="327">
        <v>3</v>
      </c>
      <c r="E10" s="327">
        <v>4</v>
      </c>
      <c r="F10" s="327">
        <v>5</v>
      </c>
      <c r="G10" s="327">
        <v>6</v>
      </c>
      <c r="H10" s="327">
        <v>7</v>
      </c>
      <c r="I10" s="327">
        <v>8</v>
      </c>
      <c r="J10" s="327">
        <v>9</v>
      </c>
      <c r="K10" s="328">
        <v>10</v>
      </c>
      <c r="L10" s="329" t="s">
        <v>21</v>
      </c>
    </row>
    <row r="11" spans="1:14" ht="15" customHeight="1" x14ac:dyDescent="0.25">
      <c r="A11" s="330" t="s">
        <v>22</v>
      </c>
      <c r="B11" s="331">
        <f t="shared" ref="B11:K11" si="0">SUMIF($G$17:$G$995,B$10,$D$17:$D$995)</f>
        <v>320.07000000000005</v>
      </c>
      <c r="C11" s="331">
        <f t="shared" si="0"/>
        <v>548.69000000000005</v>
      </c>
      <c r="D11" s="331">
        <f t="shared" si="0"/>
        <v>154.74</v>
      </c>
      <c r="E11" s="331">
        <f t="shared" si="0"/>
        <v>410.53000000000003</v>
      </c>
      <c r="F11" s="331">
        <f t="shared" si="0"/>
        <v>815.44862099999989</v>
      </c>
      <c r="G11" s="331">
        <f t="shared" si="0"/>
        <v>147</v>
      </c>
      <c r="H11" s="331">
        <f t="shared" si="0"/>
        <v>159.33000000000001</v>
      </c>
      <c r="I11" s="331">
        <f t="shared" si="0"/>
        <v>260</v>
      </c>
      <c r="J11" s="331">
        <f t="shared" si="0"/>
        <v>740.25</v>
      </c>
      <c r="K11" s="331">
        <f t="shared" si="0"/>
        <v>252.17</v>
      </c>
      <c r="L11" s="332">
        <f>SUM(B11:K11)</f>
        <v>3808.2286210000002</v>
      </c>
      <c r="M11" s="415">
        <f>SUM(D17,D37,D45,D53,D93,D140,D147,D154,D157,D166)</f>
        <v>3808.2286210000002</v>
      </c>
    </row>
    <row r="12" spans="1:14" ht="15" customHeight="1" x14ac:dyDescent="0.25">
      <c r="A12" s="334" t="s">
        <v>23</v>
      </c>
      <c r="B12" s="335">
        <f t="shared" ref="B12:K12" si="1">SUMIF($M$18:$M$996,B$10,$K$18:$K$996)</f>
        <v>20.143945782958362</v>
      </c>
      <c r="C12" s="335">
        <f t="shared" si="1"/>
        <v>0</v>
      </c>
      <c r="D12" s="335">
        <f t="shared" si="1"/>
        <v>9.2524865931485331E-2</v>
      </c>
      <c r="E12" s="335">
        <f t="shared" si="1"/>
        <v>119.48122302839568</v>
      </c>
      <c r="F12" s="335">
        <f t="shared" si="1"/>
        <v>417.87066082599767</v>
      </c>
      <c r="G12" s="335">
        <f t="shared" si="1"/>
        <v>199.17893333333333</v>
      </c>
      <c r="H12" s="335">
        <f t="shared" si="1"/>
        <v>1159.9379902241108</v>
      </c>
      <c r="I12" s="335">
        <f t="shared" si="1"/>
        <v>1.33</v>
      </c>
      <c r="J12" s="335">
        <f t="shared" si="1"/>
        <v>153.73000000000002</v>
      </c>
      <c r="K12" s="335">
        <f t="shared" si="1"/>
        <v>72.75112541961515</v>
      </c>
      <c r="L12" s="336">
        <f>SUM(B12:K12)</f>
        <v>2144.5164034803424</v>
      </c>
      <c r="M12" s="333">
        <f>SUM(K17,K22,K24,K28,K35,K45,K52,K71,K75,K83)</f>
        <v>2144.5164034803424</v>
      </c>
    </row>
    <row r="13" spans="1:14" ht="15" customHeight="1" x14ac:dyDescent="0.25">
      <c r="M13" s="337"/>
    </row>
    <row r="15" spans="1:14" ht="15" customHeight="1" x14ac:dyDescent="0.25">
      <c r="A15" s="416" t="s">
        <v>24</v>
      </c>
      <c r="B15" s="417"/>
      <c r="C15" s="417"/>
      <c r="D15" s="417"/>
      <c r="E15" s="417"/>
      <c r="F15" s="417"/>
      <c r="G15" s="418"/>
      <c r="H15" s="416" t="s">
        <v>25</v>
      </c>
      <c r="I15" s="417"/>
      <c r="J15" s="417"/>
      <c r="K15" s="417"/>
      <c r="L15" s="417"/>
      <c r="M15" s="417"/>
    </row>
    <row r="16" spans="1:14" ht="25.5" x14ac:dyDescent="0.25">
      <c r="A16" s="419" t="s">
        <v>26</v>
      </c>
      <c r="B16" s="420"/>
      <c r="C16" s="421" t="s">
        <v>27</v>
      </c>
      <c r="D16" s="32" t="s">
        <v>22</v>
      </c>
      <c r="E16" s="32" t="s">
        <v>28</v>
      </c>
      <c r="F16" s="354"/>
      <c r="G16" s="354"/>
      <c r="H16" s="422" t="s">
        <v>26</v>
      </c>
      <c r="I16" s="423"/>
      <c r="J16" s="424" t="s">
        <v>27</v>
      </c>
      <c r="K16" s="425" t="s">
        <v>23</v>
      </c>
      <c r="L16" s="354"/>
      <c r="M16" s="354"/>
    </row>
    <row r="17" spans="1:13" ht="15" customHeight="1" x14ac:dyDescent="0.25">
      <c r="A17" s="33">
        <v>1</v>
      </c>
      <c r="B17" s="34"/>
      <c r="C17" s="46"/>
      <c r="D17" s="47">
        <f>SUM(D18:D35)</f>
        <v>320.07000000000005</v>
      </c>
      <c r="E17" s="436"/>
      <c r="F17" s="31"/>
      <c r="G17" s="31"/>
      <c r="H17" s="437">
        <v>1</v>
      </c>
      <c r="I17" s="438"/>
      <c r="J17" s="437"/>
      <c r="K17" s="439">
        <f>SUM(K18:K21)</f>
        <v>20.143945782958362</v>
      </c>
      <c r="L17" s="337"/>
      <c r="M17" s="337"/>
    </row>
    <row r="18" spans="1:13" ht="15" customHeight="1" x14ac:dyDescent="0.25">
      <c r="A18" s="440" t="s">
        <v>30</v>
      </c>
      <c r="C18" s="39">
        <v>6014</v>
      </c>
      <c r="D18" s="441">
        <v>87.6</v>
      </c>
      <c r="E18" s="442">
        <v>0</v>
      </c>
      <c r="F18" s="31" t="str">
        <f>IFERROR(VLOOKUP($C18,[20]Nod!$A$3:$E$992,4,FALSE)," ")</f>
        <v>PRO230</v>
      </c>
      <c r="G18" s="31">
        <f>IFERROR(VLOOKUP($C18,[20]Nod!$A$3:$E$992,5,FALSE)," ")</f>
        <v>1</v>
      </c>
      <c r="H18" s="429" t="s">
        <v>31</v>
      </c>
      <c r="I18" s="79"/>
      <c r="J18" s="428"/>
      <c r="K18" s="90"/>
      <c r="L18" s="337"/>
      <c r="M18" s="337"/>
    </row>
    <row r="19" spans="1:13" ht="15" customHeight="1" x14ac:dyDescent="0.25">
      <c r="A19" s="440" t="s">
        <v>32</v>
      </c>
      <c r="C19" s="39">
        <v>6014</v>
      </c>
      <c r="D19" s="441">
        <v>57.4</v>
      </c>
      <c r="E19" s="442">
        <v>0</v>
      </c>
      <c r="F19" s="31" t="str">
        <f>IFERROR(VLOOKUP($C19,[20]Nod!$A$3:$E$992,4,FALSE)," ")</f>
        <v>PRO230</v>
      </c>
      <c r="G19" s="31">
        <f>IFERROR(VLOOKUP($C19,[20]Nod!$A$3:$E$992,5,FALSE)," ")</f>
        <v>1</v>
      </c>
      <c r="H19" s="95" t="s">
        <v>33</v>
      </c>
      <c r="I19" s="79"/>
      <c r="J19" s="428">
        <v>6014</v>
      </c>
      <c r="K19" s="75">
        <v>16.7</v>
      </c>
      <c r="L19" s="337" t="str">
        <f>VLOOKUP($J19,[19]Nod!$A$3:$E$991,4,FALSE)</f>
        <v>PRO230</v>
      </c>
      <c r="M19" s="337">
        <f>VLOOKUP($J19,[19]Nod!$A$3:$E$991,5,FALSE)</f>
        <v>1</v>
      </c>
    </row>
    <row r="20" spans="1:13" ht="15" customHeight="1" x14ac:dyDescent="0.25">
      <c r="A20" s="440" t="s">
        <v>34</v>
      </c>
      <c r="C20" s="39">
        <v>6014</v>
      </c>
      <c r="D20" s="441">
        <v>30</v>
      </c>
      <c r="E20" s="442">
        <v>0</v>
      </c>
      <c r="F20" s="31" t="str">
        <f>IFERROR(VLOOKUP($C20,[20]Nod!$A$3:$E$992,4,FALSE)," ")</f>
        <v>PRO230</v>
      </c>
      <c r="G20" s="31">
        <f>IFERROR(VLOOKUP($C20,[20]Nod!$A$3:$E$992,5,FALSE)," ")</f>
        <v>1</v>
      </c>
      <c r="H20" s="95" t="s">
        <v>35</v>
      </c>
      <c r="I20" s="79"/>
      <c r="J20" s="428">
        <v>6014</v>
      </c>
      <c r="K20" s="75">
        <v>3.4439457829583615</v>
      </c>
      <c r="L20" s="337" t="str">
        <f>VLOOKUP($J20,[19]Nod!$A$3:$E$991,4,FALSE)</f>
        <v>PRO230</v>
      </c>
      <c r="M20" s="337">
        <f>VLOOKUP($J20,[19]Nod!$A$3:$E$991,5,FALSE)</f>
        <v>1</v>
      </c>
    </row>
    <row r="21" spans="1:13" ht="15" customHeight="1" x14ac:dyDescent="0.25">
      <c r="A21" s="440" t="s">
        <v>36</v>
      </c>
      <c r="C21" s="39">
        <v>6014</v>
      </c>
      <c r="D21" s="441">
        <v>27.9</v>
      </c>
      <c r="E21" s="442">
        <v>0</v>
      </c>
      <c r="F21" s="31" t="str">
        <f>IFERROR(VLOOKUP($C21,[20]Nod!$A$3:$E$992,4,FALSE)," ")</f>
        <v>PRO230</v>
      </c>
      <c r="G21" s="31">
        <f>IFERROR(VLOOKUP($C21,[20]Nod!$A$3:$E$992,5,FALSE)," ")</f>
        <v>1</v>
      </c>
      <c r="H21" s="443" t="s">
        <v>37</v>
      </c>
      <c r="I21" s="444"/>
      <c r="J21" s="445"/>
      <c r="K21" s="446"/>
      <c r="L21" s="337"/>
      <c r="M21" s="337"/>
    </row>
    <row r="22" spans="1:13" ht="15" customHeight="1" x14ac:dyDescent="0.25">
      <c r="A22" s="440" t="s">
        <v>301</v>
      </c>
      <c r="C22" s="39">
        <v>6014</v>
      </c>
      <c r="D22" s="441">
        <v>25.9</v>
      </c>
      <c r="E22" s="442">
        <v>0</v>
      </c>
      <c r="F22" s="31" t="str">
        <f>IFERROR(VLOOKUP($C22,[20]Nod!$A$3:$E$992,4,FALSE)," ")</f>
        <v>PRO230</v>
      </c>
      <c r="G22" s="31">
        <f>IFERROR(VLOOKUP($C22,[20]Nod!$A$3:$E$992,5,FALSE)," ")</f>
        <v>1</v>
      </c>
      <c r="H22" s="447">
        <v>2</v>
      </c>
      <c r="I22" s="438"/>
      <c r="J22" s="437"/>
      <c r="K22" s="439">
        <f>+K23</f>
        <v>0</v>
      </c>
      <c r="L22" s="337"/>
      <c r="M22" s="337"/>
    </row>
    <row r="23" spans="1:13" ht="15" customHeight="1" x14ac:dyDescent="0.25">
      <c r="A23" s="440" t="s">
        <v>302</v>
      </c>
      <c r="C23" s="39">
        <v>6014</v>
      </c>
      <c r="D23" s="441">
        <v>25.9</v>
      </c>
      <c r="E23" s="442">
        <v>1</v>
      </c>
      <c r="F23" s="31" t="str">
        <f>IFERROR(VLOOKUP($C23,[20]Nod!$A$3:$E$992,4,FALSE)," ")</f>
        <v>PRO230</v>
      </c>
      <c r="G23" s="31">
        <f>IFERROR(VLOOKUP($C23,[20]Nod!$A$3:$E$992,5,FALSE)," ")</f>
        <v>1</v>
      </c>
      <c r="H23" s="443" t="s">
        <v>37</v>
      </c>
      <c r="I23" s="444"/>
      <c r="J23" s="445"/>
      <c r="K23" s="446"/>
      <c r="L23" s="337"/>
      <c r="M23" s="337"/>
    </row>
    <row r="24" spans="1:13" ht="15" customHeight="1" x14ac:dyDescent="0.25">
      <c r="A24" s="440" t="s">
        <v>38</v>
      </c>
      <c r="C24" s="39">
        <v>6014</v>
      </c>
      <c r="D24" s="441">
        <v>10</v>
      </c>
      <c r="E24" s="442">
        <v>0</v>
      </c>
      <c r="F24" s="31" t="str">
        <f>IFERROR(VLOOKUP($C24,[20]Nod!$A$3:$E$992,4,FALSE)," ")</f>
        <v>PRO230</v>
      </c>
      <c r="G24" s="31">
        <f>IFERROR(VLOOKUP($C24,[20]Nod!$A$3:$E$992,5,FALSE)," ")</f>
        <v>1</v>
      </c>
      <c r="H24" s="437">
        <v>3</v>
      </c>
      <c r="I24" s="438"/>
      <c r="J24" s="437"/>
      <c r="K24" s="439">
        <f>+K26</f>
        <v>9.2524865931485331E-2</v>
      </c>
      <c r="L24" s="337"/>
      <c r="M24" s="337"/>
    </row>
    <row r="25" spans="1:13" ht="15" customHeight="1" x14ac:dyDescent="0.25">
      <c r="A25" s="440" t="s">
        <v>303</v>
      </c>
      <c r="C25" s="39">
        <v>6014</v>
      </c>
      <c r="D25" s="441">
        <v>9.99</v>
      </c>
      <c r="E25" s="442">
        <v>0</v>
      </c>
      <c r="F25" s="31" t="str">
        <f>IFERROR(VLOOKUP($C25,[20]Nod!$A$3:$E$992,4,FALSE)," ")</f>
        <v>PRO230</v>
      </c>
      <c r="G25" s="31">
        <f>IFERROR(VLOOKUP($C25,[20]Nod!$A$3:$E$992,5,FALSE)," ")</f>
        <v>1</v>
      </c>
      <c r="H25" s="429" t="s">
        <v>31</v>
      </c>
      <c r="I25" s="79"/>
      <c r="J25" s="428"/>
      <c r="K25" s="90"/>
      <c r="L25" s="337"/>
      <c r="M25" s="337"/>
    </row>
    <row r="26" spans="1:13" ht="15" customHeight="1" x14ac:dyDescent="0.25">
      <c r="A26" s="440" t="s">
        <v>304</v>
      </c>
      <c r="C26" s="39">
        <v>6014</v>
      </c>
      <c r="D26" s="441">
        <v>5.5</v>
      </c>
      <c r="E26" s="442">
        <v>0</v>
      </c>
      <c r="F26" s="31" t="str">
        <f>IFERROR(VLOOKUP($C26,[20]Nod!$A$3:$E$992,4,FALSE)," ")</f>
        <v>PRO230</v>
      </c>
      <c r="G26" s="31">
        <f>IFERROR(VLOOKUP($C26,[20]Nod!$A$3:$E$992,5,FALSE)," ")</f>
        <v>1</v>
      </c>
      <c r="H26" s="95" t="s">
        <v>43</v>
      </c>
      <c r="I26" s="79"/>
      <c r="J26" s="428">
        <v>6087</v>
      </c>
      <c r="K26" s="75">
        <v>9.2524865931485331E-2</v>
      </c>
      <c r="L26" s="337" t="str">
        <f>VLOOKUP($J26,[19]Nod!$A$3:$E$991,4,FALSE)</f>
        <v>CAL115</v>
      </c>
      <c r="M26" s="337">
        <f>VLOOKUP($J26,[19]Nod!$A$3:$E$991,5,FALSE)</f>
        <v>3</v>
      </c>
    </row>
    <row r="27" spans="1:13" ht="15" customHeight="1" x14ac:dyDescent="0.25">
      <c r="A27" s="440" t="s">
        <v>305</v>
      </c>
      <c r="C27" s="39">
        <v>6014</v>
      </c>
      <c r="D27" s="441">
        <v>10</v>
      </c>
      <c r="E27" s="442">
        <v>0</v>
      </c>
      <c r="F27" s="31" t="str">
        <f>IFERROR(VLOOKUP($C27,[20]Nod!$A$3:$E$992,4,FALSE)," ")</f>
        <v>PRO230</v>
      </c>
      <c r="G27" s="31">
        <f>IFERROR(VLOOKUP($C27,[20]Nod!$A$3:$E$992,5,FALSE)," ")</f>
        <v>1</v>
      </c>
      <c r="H27" s="443" t="s">
        <v>37</v>
      </c>
      <c r="I27" s="444"/>
      <c r="J27" s="445"/>
      <c r="K27" s="446"/>
      <c r="L27" s="337"/>
      <c r="M27" s="337"/>
    </row>
    <row r="28" spans="1:13" ht="15" customHeight="1" x14ac:dyDescent="0.25">
      <c r="A28" s="440" t="s">
        <v>306</v>
      </c>
      <c r="C28" s="39">
        <v>6014</v>
      </c>
      <c r="D28" s="441">
        <v>10</v>
      </c>
      <c r="E28" s="442">
        <v>0</v>
      </c>
      <c r="F28" s="31" t="str">
        <f>IFERROR(VLOOKUP($C28,[20]Nod!$A$3:$E$992,4,FALSE)," ")</f>
        <v>PRO230</v>
      </c>
      <c r="G28" s="31">
        <f>IFERROR(VLOOKUP($C28,[20]Nod!$A$3:$E$992,5,FALSE)," ")</f>
        <v>1</v>
      </c>
      <c r="H28" s="437">
        <v>4</v>
      </c>
      <c r="I28" s="438"/>
      <c r="J28" s="437"/>
      <c r="K28" s="439">
        <f>SUM(K29:K34)</f>
        <v>119.48122302839568</v>
      </c>
      <c r="L28" s="337"/>
      <c r="M28" s="337"/>
    </row>
    <row r="29" spans="1:13" ht="15" customHeight="1" x14ac:dyDescent="0.25">
      <c r="A29" s="448" t="s">
        <v>307</v>
      </c>
      <c r="C29" s="39">
        <v>6014</v>
      </c>
      <c r="D29" s="449">
        <v>19.88</v>
      </c>
      <c r="E29" s="442">
        <v>0</v>
      </c>
      <c r="F29" s="31" t="str">
        <f>IFERROR(VLOOKUP($C29,[20]Nod!$A$3:$E$992,4,FALSE)," ")</f>
        <v>PRO230</v>
      </c>
      <c r="G29" s="31">
        <f>IFERROR(VLOOKUP($C29,[20]Nod!$A$3:$E$992,5,FALSE)," ")</f>
        <v>1</v>
      </c>
      <c r="H29" s="429" t="s">
        <v>31</v>
      </c>
      <c r="I29" s="79"/>
      <c r="J29" s="428"/>
      <c r="K29" s="90"/>
      <c r="L29" s="337"/>
      <c r="M29" s="337"/>
    </row>
    <row r="30" spans="1:13" ht="15" customHeight="1" x14ac:dyDescent="0.25">
      <c r="A30" s="440" t="s">
        <v>308</v>
      </c>
      <c r="C30" s="39">
        <v>6014</v>
      </c>
      <c r="D30" s="41"/>
      <c r="E30" s="50"/>
      <c r="F30" s="31" t="str">
        <f>IFERROR(VLOOKUP($C30,[20]Nod!$A$3:$E$992,4,FALSE)," ")</f>
        <v>PRO230</v>
      </c>
      <c r="G30" s="31">
        <f>IFERROR(VLOOKUP($C30,[20]Nod!$A$3:$E$992,5,FALSE)," ")</f>
        <v>1</v>
      </c>
      <c r="H30" s="95" t="s">
        <v>204</v>
      </c>
      <c r="I30" s="79"/>
      <c r="J30" s="428">
        <v>6013</v>
      </c>
      <c r="K30" s="75">
        <v>17.924096278638576</v>
      </c>
      <c r="L30" s="337" t="str">
        <f>VLOOKUP($J30,[19]Nod!$A$3:$E$991,4,FALSE)</f>
        <v>MDN34</v>
      </c>
      <c r="M30" s="337">
        <f>VLOOKUP($J30,[19]Nod!$A$3:$E$991,5,FALSE)</f>
        <v>4</v>
      </c>
    </row>
    <row r="31" spans="1:13" ht="15" customHeight="1" x14ac:dyDescent="0.25">
      <c r="A31" s="440" t="s">
        <v>309</v>
      </c>
      <c r="C31" s="39">
        <v>6014</v>
      </c>
      <c r="D31" s="41"/>
      <c r="E31" s="50"/>
      <c r="F31" s="31" t="str">
        <f>IFERROR(VLOOKUP($C31,[20]Nod!$A$3:$E$992,4,FALSE)," ")</f>
        <v>PRO230</v>
      </c>
      <c r="G31" s="31">
        <f>IFERROR(VLOOKUP($C31,[20]Nod!$A$3:$E$992,5,FALSE)," ")</f>
        <v>1</v>
      </c>
      <c r="H31" s="95" t="s">
        <v>203</v>
      </c>
      <c r="I31" s="79"/>
      <c r="J31" s="428">
        <v>6013</v>
      </c>
      <c r="K31" s="75">
        <v>81.11</v>
      </c>
      <c r="L31" s="337" t="str">
        <f>VLOOKUP($J31,[19]Nod!$A$3:$E$991,4,FALSE)</f>
        <v>MDN34</v>
      </c>
      <c r="M31" s="337">
        <f>VLOOKUP($J31,[19]Nod!$A$3:$E$991,5,FALSE)</f>
        <v>4</v>
      </c>
    </row>
    <row r="32" spans="1:13" ht="15" customHeight="1" x14ac:dyDescent="0.25">
      <c r="A32" s="440" t="s">
        <v>310</v>
      </c>
      <c r="C32" s="39">
        <v>6014</v>
      </c>
      <c r="D32" s="41"/>
      <c r="E32" s="50"/>
      <c r="F32" s="31" t="str">
        <f>IFERROR(VLOOKUP($C32,[20]Nod!$A$3:$E$992,4,FALSE)," ")</f>
        <v>PRO230</v>
      </c>
      <c r="G32" s="31">
        <f>IFERROR(VLOOKUP($C32,[20]Nod!$A$3:$E$992,5,FALSE)," ")</f>
        <v>1</v>
      </c>
      <c r="H32" s="72" t="s">
        <v>205</v>
      </c>
      <c r="I32" s="79"/>
      <c r="J32" s="74">
        <v>6380</v>
      </c>
      <c r="K32" s="75">
        <v>14.886641622981994</v>
      </c>
      <c r="L32" s="337" t="str">
        <f>VLOOKUP($J32,[19]Nod!$A$3:$E$991,4,FALSE)</f>
        <v>BOQIII230</v>
      </c>
      <c r="M32" s="337">
        <f>VLOOKUP($J32,[19]Nod!$A$3:$E$991,5,FALSE)</f>
        <v>4</v>
      </c>
    </row>
    <row r="33" spans="1:13" ht="15" customHeight="1" x14ac:dyDescent="0.25">
      <c r="A33" s="440" t="s">
        <v>311</v>
      </c>
      <c r="C33" s="39">
        <v>6014</v>
      </c>
      <c r="D33" s="41"/>
      <c r="E33" s="50"/>
      <c r="F33" s="31" t="str">
        <f>IFERROR(VLOOKUP($C33,[20]Nod!$A$3:$E$992,4,FALSE)," ")</f>
        <v>PRO230</v>
      </c>
      <c r="G33" s="31">
        <f>IFERROR(VLOOKUP($C33,[20]Nod!$A$3:$E$992,5,FALSE)," ")</f>
        <v>1</v>
      </c>
      <c r="H33" s="72" t="s">
        <v>206</v>
      </c>
      <c r="I33" s="79"/>
      <c r="J33" s="74">
        <v>6182</v>
      </c>
      <c r="K33" s="75">
        <v>5.5604851267751059</v>
      </c>
      <c r="L33" s="337" t="str">
        <f>VLOOKUP($J33,[19]Nod!$A$3:$E$991,4,FALSE)</f>
        <v>VEL230</v>
      </c>
      <c r="M33" s="337">
        <f>VLOOKUP($J33,[19]Nod!$A$3:$E$991,5,FALSE)</f>
        <v>4</v>
      </c>
    </row>
    <row r="34" spans="1:13" ht="15" customHeight="1" x14ac:dyDescent="0.25">
      <c r="A34" s="450" t="s">
        <v>312</v>
      </c>
      <c r="C34" s="39"/>
      <c r="D34" s="41"/>
      <c r="E34" s="50"/>
      <c r="F34" s="31"/>
      <c r="G34" s="31" t="str">
        <f>IFERROR(VLOOKUP($C34,[20]Nod!$A$3:$E$992,5,FALSE)," ")</f>
        <v xml:space="preserve"> </v>
      </c>
      <c r="H34" s="443" t="s">
        <v>37</v>
      </c>
      <c r="I34" s="444"/>
      <c r="J34" s="445"/>
      <c r="K34" s="451"/>
      <c r="L34" s="337"/>
      <c r="M34" s="337"/>
    </row>
    <row r="35" spans="1:13" ht="15" customHeight="1" x14ac:dyDescent="0.25">
      <c r="A35" s="452" t="s">
        <v>313</v>
      </c>
      <c r="C35" s="39"/>
      <c r="D35" s="41"/>
      <c r="E35" s="50"/>
      <c r="F35" s="31"/>
      <c r="G35" s="31" t="str">
        <f>IFERROR(VLOOKUP($C35,[20]Nod!$A$3:$E$992,5,FALSE)," ")</f>
        <v xml:space="preserve"> </v>
      </c>
      <c r="H35" s="453">
        <v>5</v>
      </c>
      <c r="I35" s="454"/>
      <c r="J35" s="455"/>
      <c r="K35" s="456">
        <f>SUM(K36:K44)</f>
        <v>417.87066082599767</v>
      </c>
      <c r="L35" s="337"/>
      <c r="M35" s="337"/>
    </row>
    <row r="36" spans="1:13" ht="15" customHeight="1" x14ac:dyDescent="0.25">
      <c r="A36" s="51" t="s">
        <v>37</v>
      </c>
      <c r="B36" s="3"/>
      <c r="C36" s="41"/>
      <c r="D36" s="41"/>
      <c r="E36" s="442"/>
      <c r="F36" s="31" t="str">
        <f>IFERROR(VLOOKUP($C36,[20]Nod!$A$3:$E$992,4,FALSE)," ")</f>
        <v xml:space="preserve"> </v>
      </c>
      <c r="G36" s="31" t="str">
        <f>IFERROR(VLOOKUP($C36,[20]Nod!$A$3:$E$992,5,FALSE)," ")</f>
        <v xml:space="preserve"> </v>
      </c>
      <c r="H36" s="429" t="s">
        <v>54</v>
      </c>
      <c r="I36" s="79"/>
      <c r="J36" s="428"/>
      <c r="K36" s="457"/>
      <c r="L36" s="337"/>
      <c r="M36" s="337"/>
    </row>
    <row r="37" spans="1:13" ht="15" customHeight="1" x14ac:dyDescent="0.25">
      <c r="A37" s="52">
        <v>2</v>
      </c>
      <c r="B37" s="45"/>
      <c r="C37" s="46"/>
      <c r="D37" s="47">
        <f>SUM(D38:D43)</f>
        <v>548.69000000000005</v>
      </c>
      <c r="E37" s="436"/>
      <c r="F37" s="31" t="str">
        <f>IFERROR(VLOOKUP($C37,[20]Nod!$A$3:$E$992,4,FALSE)," ")</f>
        <v xml:space="preserve"> </v>
      </c>
      <c r="G37" s="31" t="str">
        <f>IFERROR(VLOOKUP($C37,[20]Nod!$A$3:$E$992,5,FALSE)," ")</f>
        <v xml:space="preserve"> </v>
      </c>
      <c r="H37" s="458" t="s">
        <v>56</v>
      </c>
      <c r="I37" s="79"/>
      <c r="J37" s="428">
        <v>6009</v>
      </c>
      <c r="K37" s="75">
        <v>227.7</v>
      </c>
      <c r="L37" s="337" t="str">
        <f>VLOOKUP($J37,[19]Nod!$A$3:$E$991,4,FALSE)</f>
        <v>LSA115</v>
      </c>
      <c r="M37" s="337">
        <f>VLOOKUP($J37,[19]Nod!$A$3:$E$991,5,FALSE)</f>
        <v>5</v>
      </c>
    </row>
    <row r="38" spans="1:13" ht="15" customHeight="1" x14ac:dyDescent="0.25">
      <c r="A38" s="459" t="s">
        <v>58</v>
      </c>
      <c r="B38" s="3"/>
      <c r="C38" s="41">
        <v>6096</v>
      </c>
      <c r="D38" s="441">
        <v>300</v>
      </c>
      <c r="E38" s="442">
        <v>0</v>
      </c>
      <c r="F38" s="31" t="str">
        <f>IFERROR(VLOOKUP($C38,[20]Nod!$A$3:$E$992,4,FALSE)," ")</f>
        <v>FOR230</v>
      </c>
      <c r="G38" s="31">
        <f>IFERROR(VLOOKUP($C38,[20]Nod!$A$3:$E$992,5,FALSE)," ")</f>
        <v>2</v>
      </c>
      <c r="H38" s="458" t="s">
        <v>202</v>
      </c>
      <c r="I38" s="79"/>
      <c r="J38" s="428">
        <v>6460</v>
      </c>
      <c r="K38" s="75">
        <v>21.900660825997697</v>
      </c>
      <c r="L38" s="337" t="str">
        <f>VLOOKUP($J38,[19]Nod!$A$3:$E$991,4,FALSE)</f>
        <v>ECO230</v>
      </c>
      <c r="M38" s="337">
        <f>VLOOKUP($J38,[19]Nod!$A$3:$E$991,5,FALSE)</f>
        <v>5</v>
      </c>
    </row>
    <row r="39" spans="1:13" ht="15" customHeight="1" x14ac:dyDescent="0.25">
      <c r="A39" s="459" t="s">
        <v>314</v>
      </c>
      <c r="B39" s="3"/>
      <c r="C39" s="41">
        <v>6179</v>
      </c>
      <c r="D39" s="441">
        <v>120</v>
      </c>
      <c r="E39" s="442">
        <v>2</v>
      </c>
      <c r="F39" s="31" t="str">
        <f>IFERROR(VLOOKUP($C39,[20]Nod!$A$3:$E$992,4,FALSE)," ")</f>
        <v>GUA230</v>
      </c>
      <c r="G39" s="31">
        <f>IFERROR(VLOOKUP($C39,[20]Nod!$A$3:$E$992,5,FALSE)," ")</f>
        <v>2</v>
      </c>
      <c r="H39" s="429" t="s">
        <v>57</v>
      </c>
      <c r="I39" s="79"/>
      <c r="J39" s="428"/>
      <c r="K39" s="90"/>
      <c r="L39" s="337"/>
      <c r="M39" s="337"/>
    </row>
    <row r="40" spans="1:13" ht="15" customHeight="1" x14ac:dyDescent="0.25">
      <c r="A40" s="459" t="s">
        <v>62</v>
      </c>
      <c r="B40" s="3"/>
      <c r="C40" s="41">
        <v>6179</v>
      </c>
      <c r="D40" s="441">
        <v>25.34</v>
      </c>
      <c r="E40" s="442">
        <v>0</v>
      </c>
      <c r="F40" s="31" t="str">
        <f>IFERROR(VLOOKUP($C40,[20]Nod!$A$3:$E$992,4,FALSE)," ")</f>
        <v>GUA230</v>
      </c>
      <c r="G40" s="31">
        <f>IFERROR(VLOOKUP($C40,[20]Nod!$A$3:$E$992,5,FALSE)," ")</f>
        <v>2</v>
      </c>
      <c r="H40" s="95" t="s">
        <v>59</v>
      </c>
      <c r="I40" s="79"/>
      <c r="J40" s="428">
        <v>6009</v>
      </c>
      <c r="K40" s="75">
        <v>0.84</v>
      </c>
      <c r="L40" s="337" t="str">
        <f>VLOOKUP($J40,[19]Nod!$A$3:$E$991,4,FALSE)</f>
        <v>LSA115</v>
      </c>
      <c r="M40" s="337">
        <f>VLOOKUP($J40,[19]Nod!$A$3:$E$991,5,FALSE)</f>
        <v>5</v>
      </c>
    </row>
    <row r="41" spans="1:13" ht="15" customHeight="1" x14ac:dyDescent="0.25">
      <c r="A41" s="459" t="s">
        <v>64</v>
      </c>
      <c r="B41" s="3"/>
      <c r="C41" s="41">
        <v>6179</v>
      </c>
      <c r="D41" s="441">
        <v>35</v>
      </c>
      <c r="E41" s="442">
        <v>0</v>
      </c>
      <c r="F41" s="31" t="str">
        <f>IFERROR(VLOOKUP($C41,[20]Nod!$A$3:$E$992,4,FALSE)," ")</f>
        <v>GUA230</v>
      </c>
      <c r="G41" s="31">
        <f>IFERROR(VLOOKUP($C41,[20]Nod!$A$3:$E$992,5,FALSE)," ")</f>
        <v>2</v>
      </c>
      <c r="H41" s="95" t="s">
        <v>315</v>
      </c>
      <c r="I41" s="79"/>
      <c r="J41" s="428">
        <v>6009</v>
      </c>
      <c r="K41" s="75">
        <v>0</v>
      </c>
      <c r="L41" s="337" t="str">
        <f>VLOOKUP($J41,[19]Nod!$A$3:$E$991,4,FALSE)</f>
        <v>LSA115</v>
      </c>
      <c r="M41" s="337">
        <f>VLOOKUP($J41,[19]Nod!$A$3:$E$991,5,FALSE)</f>
        <v>5</v>
      </c>
    </row>
    <row r="42" spans="1:13" ht="15" customHeight="1" x14ac:dyDescent="0.25">
      <c r="A42" s="459" t="s">
        <v>66</v>
      </c>
      <c r="B42" s="3"/>
      <c r="C42" s="41">
        <v>6179</v>
      </c>
      <c r="D42" s="441">
        <v>58.66</v>
      </c>
      <c r="E42" s="442">
        <v>0</v>
      </c>
      <c r="F42" s="31" t="str">
        <f>IFERROR(VLOOKUP($C42,[20]Nod!$A$3:$E$992,4,FALSE)," ")</f>
        <v>GUA230</v>
      </c>
      <c r="G42" s="31">
        <f>IFERROR(VLOOKUP($C42,[20]Nod!$A$3:$E$992,5,FALSE)," ")</f>
        <v>2</v>
      </c>
      <c r="H42" s="460" t="s">
        <v>316</v>
      </c>
      <c r="I42" s="79"/>
      <c r="J42" s="428"/>
      <c r="K42" s="90"/>
      <c r="L42" s="337"/>
      <c r="M42" s="337"/>
    </row>
    <row r="43" spans="1:13" ht="15" customHeight="1" x14ac:dyDescent="0.25">
      <c r="A43" s="459" t="s">
        <v>317</v>
      </c>
      <c r="B43" s="3"/>
      <c r="C43" s="41">
        <v>6179</v>
      </c>
      <c r="D43" s="441">
        <v>9.69</v>
      </c>
      <c r="E43" s="442">
        <v>0</v>
      </c>
      <c r="F43" s="31" t="str">
        <f>IFERROR(VLOOKUP($C43,[20]Nod!$A$3:$E$992,4,FALSE)," ")</f>
        <v>GUA230</v>
      </c>
      <c r="G43" s="31">
        <f>IFERROR(VLOOKUP($C43,[20]Nod!$A$3:$E$992,5,FALSE)," ")</f>
        <v>2</v>
      </c>
      <c r="H43" s="95" t="s">
        <v>67</v>
      </c>
      <c r="I43" s="79"/>
      <c r="J43" s="428">
        <v>6008</v>
      </c>
      <c r="K43" s="495">
        <v>167.43</v>
      </c>
      <c r="L43" s="337" t="str">
        <f>VLOOKUP($J43,[19]Nod!$A$3:$E$991,4,FALSE)</f>
        <v>LSA230</v>
      </c>
      <c r="M43" s="337">
        <f>VLOOKUP($J43,[19]Nod!$A$3:$E$991,5,FALSE)</f>
        <v>5</v>
      </c>
    </row>
    <row r="44" spans="1:13" ht="15" customHeight="1" x14ac:dyDescent="0.25">
      <c r="A44" s="55" t="s">
        <v>37</v>
      </c>
      <c r="B44" s="43"/>
      <c r="C44" s="44"/>
      <c r="D44" s="44"/>
      <c r="E44" s="461"/>
      <c r="F44" s="31" t="str">
        <f>IFERROR(VLOOKUP($C44,[20]Nod!$A$3:$E$992,4,FALSE)," ")</f>
        <v xml:space="preserve"> </v>
      </c>
      <c r="G44" s="31" t="str">
        <f>IFERROR(VLOOKUP($C44,[20]Nod!$A$3:$E$992,5,FALSE)," ")</f>
        <v xml:space="preserve"> </v>
      </c>
      <c r="H44" s="462" t="s">
        <v>37</v>
      </c>
      <c r="I44" s="79"/>
      <c r="J44" s="428"/>
      <c r="K44" s="90"/>
      <c r="L44" s="337"/>
      <c r="M44" s="337"/>
    </row>
    <row r="45" spans="1:13" ht="15" customHeight="1" x14ac:dyDescent="0.25">
      <c r="A45" s="33">
        <v>3</v>
      </c>
      <c r="B45" s="34"/>
      <c r="C45" s="35"/>
      <c r="D45" s="76">
        <f>SUM(D46:D51)</f>
        <v>154.74</v>
      </c>
      <c r="E45" s="463"/>
      <c r="F45" s="31" t="str">
        <f>IFERROR(VLOOKUP($C45,[20]Nod!$A$3:$E$992,4,FALSE)," ")</f>
        <v xml:space="preserve"> </v>
      </c>
      <c r="G45" s="31" t="str">
        <f>IFERROR(VLOOKUP($C45,[20]Nod!$A$3:$E$992,5,FALSE)," ")</f>
        <v xml:space="preserve"> </v>
      </c>
      <c r="H45" s="447">
        <v>6</v>
      </c>
      <c r="I45" s="438"/>
      <c r="J45" s="437"/>
      <c r="K45" s="439">
        <f>SUM(K46:K51)</f>
        <v>199.17893333333333</v>
      </c>
      <c r="L45" s="337"/>
      <c r="M45" s="337"/>
    </row>
    <row r="46" spans="1:13" ht="15" customHeight="1" x14ac:dyDescent="0.25">
      <c r="A46" s="440" t="s">
        <v>69</v>
      </c>
      <c r="B46" s="3"/>
      <c r="C46" s="41">
        <v>6087</v>
      </c>
      <c r="D46" s="441">
        <v>47.2</v>
      </c>
      <c r="E46" s="442">
        <v>0</v>
      </c>
      <c r="F46" s="31" t="str">
        <f>IFERROR(VLOOKUP($C46,[20]Nod!$A$3:$E$992,4,FALSE)," ")</f>
        <v>CAL115</v>
      </c>
      <c r="G46" s="31">
        <f>IFERROR(VLOOKUP($C46,[20]Nod!$A$3:$E$992,5,FALSE)," ")</f>
        <v>3</v>
      </c>
      <c r="H46" s="429" t="s">
        <v>54</v>
      </c>
      <c r="I46" s="79"/>
      <c r="J46" s="428"/>
      <c r="K46" s="90"/>
      <c r="L46" s="337"/>
      <c r="M46" s="337"/>
    </row>
    <row r="47" spans="1:13" ht="15" customHeight="1" x14ac:dyDescent="0.25">
      <c r="A47" s="440" t="s">
        <v>71</v>
      </c>
      <c r="B47" s="3"/>
      <c r="C47" s="41">
        <v>6087</v>
      </c>
      <c r="D47" s="441">
        <v>54.76</v>
      </c>
      <c r="E47" s="442">
        <v>0</v>
      </c>
      <c r="F47" s="31" t="str">
        <f>IFERROR(VLOOKUP($C47,[20]Nod!$A$3:$E$992,4,FALSE)," ")</f>
        <v>CAL115</v>
      </c>
      <c r="G47" s="31">
        <f>IFERROR(VLOOKUP($C47,[20]Nod!$A$3:$E$992,5,FALSE)," ")</f>
        <v>3</v>
      </c>
      <c r="H47" s="95" t="s">
        <v>70</v>
      </c>
      <c r="I47" s="79"/>
      <c r="J47" s="428">
        <v>6005</v>
      </c>
      <c r="K47" s="75">
        <v>196.78</v>
      </c>
      <c r="L47" s="337" t="str">
        <f>VLOOKUP($J47,[19]Nod!$A$3:$E$991,4,FALSE)</f>
        <v>CHO230</v>
      </c>
      <c r="M47" s="337">
        <f>VLOOKUP($J47,[19]Nod!$A$3:$E$991,5,FALSE)</f>
        <v>6</v>
      </c>
    </row>
    <row r="48" spans="1:13" ht="15" customHeight="1" x14ac:dyDescent="0.25">
      <c r="A48" s="440" t="s">
        <v>72</v>
      </c>
      <c r="B48" s="3"/>
      <c r="C48" s="41">
        <v>6087</v>
      </c>
      <c r="D48" s="441">
        <v>19.75</v>
      </c>
      <c r="E48" s="442">
        <v>0</v>
      </c>
      <c r="F48" s="31" t="str">
        <f>IFERROR(VLOOKUP($C48,[20]Nod!$A$3:$E$992,4,FALSE)," ")</f>
        <v>CAL115</v>
      </c>
      <c r="G48" s="31">
        <f>IFERROR(VLOOKUP($C48,[20]Nod!$A$3:$E$992,5,FALSE)," ")</f>
        <v>3</v>
      </c>
      <c r="H48" s="429" t="s">
        <v>57</v>
      </c>
      <c r="I48" s="79"/>
      <c r="J48" s="428"/>
      <c r="K48" s="90"/>
      <c r="L48" s="337"/>
      <c r="M48" s="337"/>
    </row>
    <row r="49" spans="1:15" ht="15" customHeight="1" x14ac:dyDescent="0.25">
      <c r="A49" s="448" t="s">
        <v>73</v>
      </c>
      <c r="B49" s="3"/>
      <c r="C49" s="41">
        <v>6087</v>
      </c>
      <c r="D49" s="449">
        <v>15.5</v>
      </c>
      <c r="E49" s="442">
        <v>0</v>
      </c>
      <c r="F49" s="31" t="str">
        <f>IFERROR(VLOOKUP($C49,[20]Nod!$A$3:$E$992,4,FALSE)," ")</f>
        <v>CAL115</v>
      </c>
      <c r="G49" s="31">
        <f>IFERROR(VLOOKUP($C49,[20]Nod!$A$3:$E$992,5,FALSE)," ")</f>
        <v>3</v>
      </c>
      <c r="H49" s="95" t="s">
        <v>59</v>
      </c>
      <c r="I49" s="79"/>
      <c r="J49" s="428">
        <v>6005</v>
      </c>
      <c r="K49" s="75">
        <v>0.29893333333333338</v>
      </c>
      <c r="L49" s="337" t="str">
        <f>VLOOKUP($J49,[19]Nod!$A$3:$E$991,4,FALSE)</f>
        <v>CHO230</v>
      </c>
      <c r="M49" s="337">
        <f>VLOOKUP($J49,[19]Nod!$A$3:$E$991,5,FALSE)</f>
        <v>6</v>
      </c>
    </row>
    <row r="50" spans="1:15" ht="15" customHeight="1" x14ac:dyDescent="0.25">
      <c r="A50" s="440" t="s">
        <v>75</v>
      </c>
      <c r="B50" s="3"/>
      <c r="C50" s="41">
        <v>6087</v>
      </c>
      <c r="D50" s="441">
        <v>7.8</v>
      </c>
      <c r="E50" s="442">
        <v>0</v>
      </c>
      <c r="F50" s="31" t="str">
        <f>IFERROR(VLOOKUP($C50,[20]Nod!$A$3:$E$992,4,FALSE)," ")</f>
        <v>CAL115</v>
      </c>
      <c r="G50" s="31">
        <f>IFERROR(VLOOKUP($C50,[20]Nod!$A$3:$E$992,5,FALSE)," ")</f>
        <v>3</v>
      </c>
      <c r="H50" s="95" t="s">
        <v>74</v>
      </c>
      <c r="I50" s="79"/>
      <c r="J50" s="428">
        <v>6005</v>
      </c>
      <c r="K50" s="75">
        <v>2.1</v>
      </c>
      <c r="L50" s="337" t="str">
        <f>VLOOKUP($J50,[19]Nod!$A$3:$E$991,4,FALSE)</f>
        <v>CHO230</v>
      </c>
      <c r="M50" s="337">
        <f>VLOOKUP($J50,[19]Nod!$A$3:$E$991,5,FALSE)</f>
        <v>6</v>
      </c>
    </row>
    <row r="51" spans="1:15" ht="15" customHeight="1" x14ac:dyDescent="0.25">
      <c r="A51" s="440" t="s">
        <v>76</v>
      </c>
      <c r="B51" s="3"/>
      <c r="C51" s="41">
        <v>6087</v>
      </c>
      <c r="D51" s="441">
        <v>9.73</v>
      </c>
      <c r="E51" s="442">
        <v>0</v>
      </c>
      <c r="F51" s="31" t="str">
        <f>IFERROR(VLOOKUP($C51,[20]Nod!$A$3:$E$992,4,FALSE)," ")</f>
        <v>CAL115</v>
      </c>
      <c r="G51" s="31">
        <f>IFERROR(VLOOKUP($C51,[20]Nod!$A$3:$E$992,5,FALSE)," ")</f>
        <v>3</v>
      </c>
      <c r="H51" s="443" t="s">
        <v>37</v>
      </c>
      <c r="I51" s="444"/>
      <c r="J51" s="445"/>
      <c r="K51" s="446"/>
      <c r="L51" s="337"/>
      <c r="M51" s="337"/>
    </row>
    <row r="52" spans="1:15" ht="15" customHeight="1" x14ac:dyDescent="0.25">
      <c r="A52" s="51" t="s">
        <v>37</v>
      </c>
      <c r="B52" s="3"/>
      <c r="C52" s="41"/>
      <c r="D52" s="41"/>
      <c r="E52" s="442"/>
      <c r="F52" s="31" t="str">
        <f>IFERROR(VLOOKUP($C52,[20]Nod!$A$3:$E$992,4,FALSE)," ")</f>
        <v xml:space="preserve"> </v>
      </c>
      <c r="G52" s="31" t="str">
        <f>IFERROR(VLOOKUP($C52,[20]Nod!$A$3:$E$992,5,FALSE)," ")</f>
        <v xml:space="preserve"> </v>
      </c>
      <c r="H52" s="447">
        <v>7</v>
      </c>
      <c r="I52" s="438"/>
      <c r="J52" s="437"/>
      <c r="K52" s="439">
        <f>SUM(K53:K70)</f>
        <v>1159.9379902241108</v>
      </c>
      <c r="L52" s="337"/>
      <c r="M52" s="337"/>
    </row>
    <row r="53" spans="1:15" ht="15" customHeight="1" x14ac:dyDescent="0.25">
      <c r="A53" s="49">
        <v>4</v>
      </c>
      <c r="B53" s="45"/>
      <c r="C53" s="46"/>
      <c r="D53" s="47">
        <f>SUM(D54:D92)</f>
        <v>410.53000000000003</v>
      </c>
      <c r="E53" s="436"/>
      <c r="F53" s="31" t="str">
        <f>IFERROR(VLOOKUP($C53,[20]Nod!$A$3:$E$992,4,FALSE)," ")</f>
        <v xml:space="preserve"> </v>
      </c>
      <c r="G53" s="31" t="str">
        <f>IFERROR(VLOOKUP($C53,[20]Nod!$A$3:$E$992,5,FALSE)," ")</f>
        <v xml:space="preserve"> </v>
      </c>
      <c r="H53" s="429" t="s">
        <v>77</v>
      </c>
      <c r="I53" s="79"/>
      <c r="J53" s="428"/>
      <c r="K53" s="90"/>
      <c r="L53" s="337"/>
      <c r="M53" s="337"/>
    </row>
    <row r="54" spans="1:15" ht="15" customHeight="1" x14ac:dyDescent="0.25">
      <c r="A54" s="440" t="s">
        <v>98</v>
      </c>
      <c r="B54" s="3"/>
      <c r="C54" s="41">
        <v>6380</v>
      </c>
      <c r="D54" s="441">
        <v>51.65</v>
      </c>
      <c r="E54" s="442">
        <v>0</v>
      </c>
      <c r="F54" s="31" t="str">
        <f>IFERROR(VLOOKUP($C54,[20]Nod!$A$3:$E$992,4,FALSE)," ")</f>
        <v>BOQIII230</v>
      </c>
      <c r="G54" s="31">
        <f>IFERROR(VLOOKUP($C54,[20]Nod!$A$3:$E$992,5,FALSE)," ")</f>
        <v>4</v>
      </c>
      <c r="H54" s="95" t="s">
        <v>78</v>
      </c>
      <c r="I54" s="79"/>
      <c r="J54" s="428">
        <v>6002</v>
      </c>
      <c r="K54" s="75">
        <v>230.33</v>
      </c>
      <c r="L54" s="337" t="str">
        <f>VLOOKUP($J54,[19]Nod!$A$3:$E$991,4,FALSE)</f>
        <v>PAN115</v>
      </c>
      <c r="M54" s="337">
        <f>VLOOKUP($J54,[19]Nod!$A$3:$E$991,5,FALSE)</f>
        <v>7</v>
      </c>
    </row>
    <row r="55" spans="1:15" ht="15" customHeight="1" x14ac:dyDescent="0.25">
      <c r="A55" s="440" t="s">
        <v>100</v>
      </c>
      <c r="B55" s="3"/>
      <c r="C55" s="41">
        <v>6380</v>
      </c>
      <c r="D55" s="441">
        <v>32.6</v>
      </c>
      <c r="E55" s="442">
        <v>0</v>
      </c>
      <c r="F55" s="31" t="str">
        <f>IFERROR(VLOOKUP($C55,[20]Nod!$A$3:$E$992,4,FALSE)," ")</f>
        <v>BOQIII230</v>
      </c>
      <c r="G55" s="31">
        <f>IFERROR(VLOOKUP($C55,[20]Nod!$A$3:$E$992,5,FALSE)," ")</f>
        <v>4</v>
      </c>
      <c r="H55" s="95" t="s">
        <v>80</v>
      </c>
      <c r="I55" s="79"/>
      <c r="J55" s="428">
        <v>6004</v>
      </c>
      <c r="K55" s="75">
        <v>326.07</v>
      </c>
      <c r="L55" s="337" t="str">
        <f>VLOOKUP($J55,[19]Nod!$A$3:$E$991,4,FALSE)</f>
        <v>PANII115</v>
      </c>
      <c r="M55" s="337">
        <f>VLOOKUP($J55,[19]Nod!$A$3:$E$991,5,FALSE)</f>
        <v>7</v>
      </c>
    </row>
    <row r="56" spans="1:15" ht="15" customHeight="1" x14ac:dyDescent="0.25">
      <c r="A56" s="440" t="s">
        <v>104</v>
      </c>
      <c r="B56" s="3"/>
      <c r="C56" s="41">
        <v>6013</v>
      </c>
      <c r="D56" s="441">
        <v>72.2</v>
      </c>
      <c r="E56" s="442">
        <v>0</v>
      </c>
      <c r="F56" s="31" t="str">
        <f>IFERROR(VLOOKUP($C56,[20]Nod!$A$3:$E$992,4,FALSE)," ")</f>
        <v>MDN34</v>
      </c>
      <c r="G56" s="31">
        <f>IFERROR(VLOOKUP($C56,[20]Nod!$A$3:$E$992,5,FALSE)," ")</f>
        <v>4</v>
      </c>
      <c r="H56" s="95" t="s">
        <v>82</v>
      </c>
      <c r="I56" s="79"/>
      <c r="J56" s="428">
        <v>6470</v>
      </c>
      <c r="K56" s="75">
        <v>49.619549999999997</v>
      </c>
      <c r="L56" s="337" t="str">
        <f>VLOOKUP($J56,[19]Nod!$A$3:$E$991,4,FALSE)</f>
        <v>24DIC230</v>
      </c>
      <c r="M56" s="337">
        <f>VLOOKUP($J56,[19]Nod!$A$3:$E$991,5,FALSE)</f>
        <v>7</v>
      </c>
    </row>
    <row r="57" spans="1:15" ht="15" customHeight="1" x14ac:dyDescent="0.25">
      <c r="A57" s="440" t="s">
        <v>110</v>
      </c>
      <c r="B57" s="3"/>
      <c r="C57" s="41">
        <v>6013</v>
      </c>
      <c r="D57" s="441">
        <v>28.84</v>
      </c>
      <c r="E57" s="442">
        <v>0</v>
      </c>
      <c r="F57" s="31" t="str">
        <f>IFERROR(VLOOKUP($C57,[20]Nod!$A$3:$E$992,4,FALSE)," ")</f>
        <v>MDN34</v>
      </c>
      <c r="G57" s="31">
        <f>IFERROR(VLOOKUP($C57,[20]Nod!$A$3:$E$992,5,FALSE)," ")</f>
        <v>4</v>
      </c>
      <c r="H57" s="429" t="s">
        <v>296</v>
      </c>
      <c r="I57" s="79"/>
      <c r="J57" s="428"/>
      <c r="K57" s="90"/>
      <c r="L57" s="337"/>
      <c r="M57" s="337"/>
    </row>
    <row r="58" spans="1:15" ht="15" customHeight="1" x14ac:dyDescent="0.25">
      <c r="A58" s="440" t="s">
        <v>318</v>
      </c>
      <c r="B58" s="3"/>
      <c r="C58" s="41">
        <v>6380</v>
      </c>
      <c r="D58" s="441"/>
      <c r="E58" s="442">
        <v>0</v>
      </c>
      <c r="F58" s="31" t="str">
        <f>IFERROR(VLOOKUP($C58,[20]Nod!$A$3:$E$992,4,FALSE)," ")</f>
        <v>BOQIII230</v>
      </c>
      <c r="G58" s="31">
        <f>IFERROR(VLOOKUP($C58,[20]Nod!$A$3:$E$992,5,FALSE)," ")</f>
        <v>4</v>
      </c>
      <c r="H58" s="95" t="s">
        <v>88</v>
      </c>
      <c r="I58" s="79"/>
      <c r="J58" s="428">
        <v>6024</v>
      </c>
      <c r="K58" s="75">
        <v>21.708410326571311</v>
      </c>
      <c r="L58" s="337" t="str">
        <f>VLOOKUP($J58,[19]Nod!$A$3:$E$991,4,FALSE)</f>
        <v>CHI115</v>
      </c>
      <c r="M58" s="337">
        <f>VLOOKUP($J58,[19]Nod!$A$3:$E$991,5,FALSE)</f>
        <v>7</v>
      </c>
    </row>
    <row r="59" spans="1:15" ht="15" customHeight="1" x14ac:dyDescent="0.25">
      <c r="A59" s="440" t="s">
        <v>319</v>
      </c>
      <c r="B59" s="3"/>
      <c r="C59" s="41">
        <v>6380</v>
      </c>
      <c r="D59" s="441"/>
      <c r="E59" s="442">
        <v>0</v>
      </c>
      <c r="F59" s="31" t="str">
        <f>IFERROR(VLOOKUP($C59,[20]Nod!$A$3:$E$992,4,FALSE)," ")</f>
        <v>BOQIII230</v>
      </c>
      <c r="G59" s="31">
        <f>IFERROR(VLOOKUP($C59,[20]Nod!$A$3:$E$992,5,FALSE)," ")</f>
        <v>4</v>
      </c>
      <c r="H59" s="95" t="s">
        <v>95</v>
      </c>
      <c r="I59" s="79"/>
      <c r="J59" s="428">
        <v>6002</v>
      </c>
      <c r="K59" s="75">
        <v>0.14399999999999999</v>
      </c>
      <c r="L59" s="337" t="str">
        <f>VLOOKUP($J59,[19]Nod!$A$3:$E$991,4,FALSE)</f>
        <v>PAN115</v>
      </c>
      <c r="M59" s="337">
        <f>VLOOKUP($J59,[19]Nod!$A$3:$E$991,5,FALSE)</f>
        <v>7</v>
      </c>
    </row>
    <row r="60" spans="1:15" ht="15" customHeight="1" x14ac:dyDescent="0.25">
      <c r="A60" s="440" t="s">
        <v>79</v>
      </c>
      <c r="B60" s="3"/>
      <c r="C60" s="41">
        <v>6380</v>
      </c>
      <c r="D60" s="441">
        <v>10</v>
      </c>
      <c r="E60" s="442">
        <v>0</v>
      </c>
      <c r="F60" s="31" t="str">
        <f>IFERROR(VLOOKUP($C60,[20]Nod!$A$3:$E$992,4,FALSE)," ")</f>
        <v>BOQIII230</v>
      </c>
      <c r="G60" s="31">
        <f>IFERROR(VLOOKUP($C60,[20]Nod!$A$3:$E$992,5,FALSE)," ")</f>
        <v>4</v>
      </c>
      <c r="H60" s="95" t="s">
        <v>101</v>
      </c>
      <c r="I60" s="79"/>
      <c r="J60" s="428">
        <v>6004</v>
      </c>
      <c r="K60" s="75">
        <v>0.27900000000000003</v>
      </c>
      <c r="L60" s="337" t="str">
        <f>VLOOKUP($J60,[19]Nod!$A$3:$E$991,4,FALSE)</f>
        <v>PANII115</v>
      </c>
      <c r="M60" s="337">
        <f>VLOOKUP($J60,[19]Nod!$A$3:$E$991,5,FALSE)</f>
        <v>7</v>
      </c>
    </row>
    <row r="61" spans="1:15" ht="15" customHeight="1" x14ac:dyDescent="0.25">
      <c r="A61" s="440" t="s">
        <v>81</v>
      </c>
      <c r="B61" s="3"/>
      <c r="C61" s="56">
        <v>6013</v>
      </c>
      <c r="D61" s="465">
        <v>5.8</v>
      </c>
      <c r="E61" s="442">
        <v>0</v>
      </c>
      <c r="F61" s="31" t="str">
        <f>IFERROR(VLOOKUP($C61,[20]Nod!$A$3:$E$992,4,FALSE)," ")</f>
        <v>MDN34</v>
      </c>
      <c r="G61" s="31">
        <f>IFERROR(VLOOKUP($C61,[20]Nod!$A$3:$E$992,5,FALSE)," ")</f>
        <v>4</v>
      </c>
      <c r="H61" s="95" t="s">
        <v>59</v>
      </c>
      <c r="I61" s="79"/>
      <c r="J61" s="428">
        <v>6002</v>
      </c>
      <c r="K61" s="75">
        <v>1.7200577252627105</v>
      </c>
      <c r="L61" s="337" t="str">
        <f>VLOOKUP($J61,[19]Nod!$A$3:$E$991,4,FALSE)</f>
        <v>PAN115</v>
      </c>
      <c r="M61" s="337">
        <f>VLOOKUP($J61,[19]Nod!$A$3:$E$991,5,FALSE)</f>
        <v>7</v>
      </c>
    </row>
    <row r="62" spans="1:15" ht="15" customHeight="1" x14ac:dyDescent="0.25">
      <c r="A62" s="440" t="s">
        <v>83</v>
      </c>
      <c r="B62" s="3"/>
      <c r="C62" s="56">
        <v>6013</v>
      </c>
      <c r="D62" s="441">
        <v>6</v>
      </c>
      <c r="E62" s="442">
        <v>0</v>
      </c>
      <c r="F62" s="31" t="str">
        <f>IFERROR(VLOOKUP($C62,[20]Nod!$A$3:$E$992,4,FALSE)," ")</f>
        <v>MDN34</v>
      </c>
      <c r="G62" s="31">
        <f>IFERROR(VLOOKUP($C62,[20]Nod!$A$3:$E$992,5,FALSE)," ")</f>
        <v>4</v>
      </c>
      <c r="H62" s="429" t="s">
        <v>54</v>
      </c>
      <c r="I62" s="79"/>
      <c r="J62" s="428"/>
      <c r="K62" s="90"/>
      <c r="L62" s="337"/>
      <c r="M62" s="337"/>
      <c r="N62" s="3" t="s">
        <v>207</v>
      </c>
      <c r="O62" s="70" t="s">
        <v>199</v>
      </c>
    </row>
    <row r="63" spans="1:15" ht="15" customHeight="1" x14ac:dyDescent="0.25">
      <c r="A63" s="448" t="s">
        <v>299</v>
      </c>
      <c r="B63" s="3"/>
      <c r="C63" s="41">
        <v>6380</v>
      </c>
      <c r="D63" s="449">
        <v>20.91</v>
      </c>
      <c r="E63" s="442">
        <v>0</v>
      </c>
      <c r="F63" s="31" t="str">
        <f>IFERROR(VLOOKUP($C63,[20]Nod!$A$3:$E$992,4,FALSE)," ")</f>
        <v>BOQIII230</v>
      </c>
      <c r="G63" s="31">
        <f>IFERROR(VLOOKUP($C63,[20]Nod!$A$3:$E$992,5,FALSE)," ")</f>
        <v>4</v>
      </c>
      <c r="H63" s="95" t="s">
        <v>78</v>
      </c>
      <c r="I63" s="79"/>
      <c r="J63" s="428">
        <v>6002</v>
      </c>
      <c r="K63" s="426">
        <v>524.87</v>
      </c>
      <c r="L63" s="337" t="str">
        <f>VLOOKUP($J63,[19]Nod!$A$3:$E$991,4,FALSE)</f>
        <v>PAN115</v>
      </c>
      <c r="M63" s="337">
        <f>VLOOKUP($J63,[19]Nod!$A$3:$E$991,5,FALSE)</f>
        <v>7</v>
      </c>
      <c r="N63" s="73" t="s">
        <v>54</v>
      </c>
      <c r="O63" s="71">
        <f>K61</f>
        <v>1.7200577252627105</v>
      </c>
    </row>
    <row r="64" spans="1:15" ht="15" customHeight="1" x14ac:dyDescent="0.25">
      <c r="A64" s="448" t="s">
        <v>298</v>
      </c>
      <c r="B64" s="3"/>
      <c r="C64" s="41">
        <v>6380</v>
      </c>
      <c r="D64" s="449">
        <v>13.18</v>
      </c>
      <c r="E64" s="442">
        <v>0</v>
      </c>
      <c r="F64" s="31" t="str">
        <f>IFERROR(VLOOKUP($C64,[20]Nod!$A$3:$E$992,4,FALSE)," ")</f>
        <v>BOQIII230</v>
      </c>
      <c r="G64" s="31">
        <f>IFERROR(VLOOKUP($C64,[20]Nod!$A$3:$E$992,5,FALSE)," ")</f>
        <v>4</v>
      </c>
      <c r="H64" s="429" t="s">
        <v>297</v>
      </c>
      <c r="I64" s="79"/>
      <c r="J64" s="428"/>
      <c r="K64" s="90"/>
      <c r="L64" s="337"/>
      <c r="M64" s="337"/>
      <c r="N64" s="73" t="s">
        <v>77</v>
      </c>
      <c r="O64" s="71">
        <f>K69</f>
        <v>1.7266796989163489</v>
      </c>
    </row>
    <row r="65" spans="1:15" ht="15" customHeight="1" x14ac:dyDescent="0.25">
      <c r="A65" s="448" t="s">
        <v>87</v>
      </c>
      <c r="B65" s="3"/>
      <c r="C65" s="41">
        <v>6013</v>
      </c>
      <c r="D65" s="449">
        <v>14</v>
      </c>
      <c r="E65" s="442">
        <v>0</v>
      </c>
      <c r="F65" s="31" t="str">
        <f>IFERROR(VLOOKUP($C65,[20]Nod!$A$3:$E$992,4,FALSE)," ")</f>
        <v>MDN34</v>
      </c>
      <c r="G65" s="31">
        <f>IFERROR(VLOOKUP($C65,[20]Nod!$A$3:$E$992,5,FALSE)," ")</f>
        <v>4</v>
      </c>
      <c r="H65" s="95" t="s">
        <v>97</v>
      </c>
      <c r="I65" s="79"/>
      <c r="J65" s="428">
        <v>6002</v>
      </c>
      <c r="K65" s="75">
        <v>1.3052761995376165</v>
      </c>
      <c r="L65" s="337" t="str">
        <f>VLOOKUP($J65,[19]Nod!$A$3:$E$991,4,FALSE)</f>
        <v>PAN115</v>
      </c>
      <c r="M65" s="337">
        <f>VLOOKUP($J65,[19]Nod!$A$3:$E$991,5,FALSE)</f>
        <v>7</v>
      </c>
      <c r="N65" s="77" t="s">
        <v>208</v>
      </c>
      <c r="O65" s="78">
        <f>+O63+O64</f>
        <v>3.4467374241790596</v>
      </c>
    </row>
    <row r="66" spans="1:15" ht="15" customHeight="1" x14ac:dyDescent="0.25">
      <c r="A66" s="440" t="s">
        <v>92</v>
      </c>
      <c r="B66" s="3"/>
      <c r="C66" s="41">
        <v>6182</v>
      </c>
      <c r="D66" s="441">
        <v>10</v>
      </c>
      <c r="E66" s="442">
        <v>0</v>
      </c>
      <c r="F66" s="31" t="str">
        <f>IFERROR(VLOOKUP($C66,[20]Nod!$A$3:$E$992,4,FALSE)," ")</f>
        <v>VEL230</v>
      </c>
      <c r="G66" s="31">
        <f>IFERROR(VLOOKUP($C66,[20]Nod!$A$3:$E$992,5,FALSE)," ")</f>
        <v>4</v>
      </c>
      <c r="H66" s="95" t="s">
        <v>93</v>
      </c>
      <c r="I66" s="79"/>
      <c r="J66" s="428">
        <v>6002</v>
      </c>
      <c r="K66" s="75">
        <v>1.2148865</v>
      </c>
      <c r="L66" s="337" t="str">
        <f>VLOOKUP($J66,[19]Nod!$A$3:$E$991,4,FALSE)</f>
        <v>PAN115</v>
      </c>
      <c r="M66" s="337">
        <f>VLOOKUP($J66,[19]Nod!$A$3:$E$991,5,FALSE)</f>
        <v>7</v>
      </c>
      <c r="N66"/>
    </row>
    <row r="67" spans="1:15" ht="15" customHeight="1" x14ac:dyDescent="0.25">
      <c r="A67" s="440" t="s">
        <v>94</v>
      </c>
      <c r="B67" s="3"/>
      <c r="C67" s="41">
        <v>6182</v>
      </c>
      <c r="D67" s="441">
        <v>10</v>
      </c>
      <c r="E67" s="442">
        <v>0</v>
      </c>
      <c r="F67" s="31" t="str">
        <f>IFERROR(VLOOKUP($C67,[20]Nod!$A$3:$E$992,4,FALSE)," ")</f>
        <v>VEL230</v>
      </c>
      <c r="G67" s="31">
        <f>IFERROR(VLOOKUP($C67,[20]Nod!$A$3:$E$992,5,FALSE)," ")</f>
        <v>4</v>
      </c>
      <c r="H67" s="95" t="s">
        <v>90</v>
      </c>
      <c r="I67" s="79"/>
      <c r="J67" s="428">
        <v>6002</v>
      </c>
      <c r="K67" s="75">
        <v>0.95012977382276609</v>
      </c>
      <c r="L67" s="337" t="str">
        <f>VLOOKUP($J67,[19]Nod!$A$3:$E$991,4,FALSE)</f>
        <v>PAN115</v>
      </c>
      <c r="M67" s="337">
        <f>VLOOKUP($J67,[19]Nod!$A$3:$E$991,5,FALSE)</f>
        <v>7</v>
      </c>
    </row>
    <row r="68" spans="1:15" ht="15" customHeight="1" x14ac:dyDescent="0.25">
      <c r="A68" s="440" t="s">
        <v>96</v>
      </c>
      <c r="B68" s="3"/>
      <c r="C68" s="41">
        <v>6380</v>
      </c>
      <c r="D68" s="441">
        <v>8.1199999999999992</v>
      </c>
      <c r="E68" s="442">
        <v>0</v>
      </c>
      <c r="F68" s="31" t="str">
        <f>IFERROR(VLOOKUP($C68,[20]Nod!$A$3:$E$992,4,FALSE)," ")</f>
        <v>BOQIII230</v>
      </c>
      <c r="G68" s="31">
        <f>IFERROR(VLOOKUP($C68,[20]Nod!$A$3:$E$992,5,FALSE)," ")</f>
        <v>4</v>
      </c>
      <c r="H68" s="95" t="s">
        <v>99</v>
      </c>
      <c r="I68" s="79"/>
      <c r="J68" s="428">
        <v>6002</v>
      </c>
      <c r="K68" s="75">
        <v>0</v>
      </c>
      <c r="L68" s="337" t="str">
        <f>VLOOKUP($J68,[19]Nod!$A$3:$E$991,4,FALSE)</f>
        <v>PAN115</v>
      </c>
      <c r="M68" s="337">
        <f>VLOOKUP($J68,[19]Nod!$A$3:$E$991,5,FALSE)</f>
        <v>7</v>
      </c>
    </row>
    <row r="69" spans="1:15" ht="15" customHeight="1" x14ac:dyDescent="0.25">
      <c r="A69" s="440" t="s">
        <v>102</v>
      </c>
      <c r="B69" s="3"/>
      <c r="C69" s="41">
        <v>6380</v>
      </c>
      <c r="D69" s="441">
        <v>5.12</v>
      </c>
      <c r="E69" s="442">
        <v>0</v>
      </c>
      <c r="F69" s="31" t="str">
        <f>IFERROR(VLOOKUP($C69,[20]Nod!$A$3:$E$992,4,FALSE)," ")</f>
        <v>BOQIII230</v>
      </c>
      <c r="G69" s="31">
        <f>IFERROR(VLOOKUP($C69,[20]Nod!$A$3:$E$992,5,FALSE)," ")</f>
        <v>4</v>
      </c>
      <c r="H69" s="95" t="s">
        <v>59</v>
      </c>
      <c r="I69" s="79"/>
      <c r="J69" s="428">
        <v>6002</v>
      </c>
      <c r="K69" s="75">
        <v>1.7266796989163489</v>
      </c>
      <c r="L69" s="337" t="str">
        <f>VLOOKUP($J69,[19]Nod!$A$3:$E$991,4,FALSE)</f>
        <v>PAN115</v>
      </c>
      <c r="M69" s="337">
        <f>VLOOKUP($J69,[19]Nod!$A$3:$E$991,5,FALSE)</f>
        <v>7</v>
      </c>
    </row>
    <row r="70" spans="1:15" ht="15" customHeight="1" x14ac:dyDescent="0.25">
      <c r="A70" s="440" t="s">
        <v>320</v>
      </c>
      <c r="B70" s="3"/>
      <c r="C70" s="41">
        <v>6182</v>
      </c>
      <c r="D70" s="441">
        <v>5.86</v>
      </c>
      <c r="E70" s="442">
        <v>0</v>
      </c>
      <c r="F70" s="31" t="str">
        <f>IFERROR(VLOOKUP($C70,[20]Nod!$A$3:$E$992,4,FALSE)," ")</f>
        <v>VEL230</v>
      </c>
      <c r="G70" s="31">
        <f>IFERROR(VLOOKUP($C70,[20]Nod!$A$3:$E$992,5,FALSE)," ")</f>
        <v>4</v>
      </c>
      <c r="H70" s="443" t="s">
        <v>37</v>
      </c>
      <c r="I70" s="444"/>
      <c r="J70" s="445"/>
      <c r="K70" s="446"/>
      <c r="L70" s="337"/>
      <c r="M70" s="337"/>
    </row>
    <row r="71" spans="1:15" ht="15" customHeight="1" x14ac:dyDescent="0.25">
      <c r="A71" s="440" t="s">
        <v>300</v>
      </c>
      <c r="B71" s="22"/>
      <c r="C71" s="57">
        <v>6380</v>
      </c>
      <c r="D71" s="441">
        <v>6.3</v>
      </c>
      <c r="E71" s="466">
        <v>0</v>
      </c>
      <c r="F71" s="31" t="str">
        <f>IFERROR(VLOOKUP($C71,[20]Nod!$A$3:$E$992,4,FALSE)," ")</f>
        <v>BOQIII230</v>
      </c>
      <c r="G71" s="31">
        <f>IFERROR(VLOOKUP($C71,[20]Nod!$A$3:$E$992,5,FALSE)," ")</f>
        <v>4</v>
      </c>
      <c r="H71" s="447">
        <v>8</v>
      </c>
      <c r="I71" s="438"/>
      <c r="J71" s="467"/>
      <c r="K71" s="439">
        <f>SUM(K72:K74)</f>
        <v>1.33</v>
      </c>
      <c r="L71" s="337"/>
      <c r="M71" s="337"/>
    </row>
    <row r="72" spans="1:15" ht="15" customHeight="1" x14ac:dyDescent="0.25">
      <c r="A72" s="440" t="s">
        <v>321</v>
      </c>
      <c r="B72" s="22"/>
      <c r="C72" s="57">
        <v>6013</v>
      </c>
      <c r="D72" s="441">
        <v>8.86</v>
      </c>
      <c r="E72" s="466">
        <v>0</v>
      </c>
      <c r="F72" s="31" t="str">
        <f>IFERROR(VLOOKUP($C72,[20]Nod!$A$3:$E$992,4,FALSE)," ")</f>
        <v>MDN34</v>
      </c>
      <c r="G72" s="31">
        <f>IFERROR(VLOOKUP($C72,[20]Nod!$A$3:$E$992,5,FALSE)," ")</f>
        <v>4</v>
      </c>
      <c r="H72" s="429" t="s">
        <v>77</v>
      </c>
      <c r="I72" s="79"/>
      <c r="J72" s="428"/>
      <c r="K72" s="90"/>
      <c r="L72" s="337"/>
      <c r="M72" s="337"/>
    </row>
    <row r="73" spans="1:15" ht="15" customHeight="1" x14ac:dyDescent="0.25">
      <c r="A73" s="440" t="s">
        <v>322</v>
      </c>
      <c r="B73" s="3"/>
      <c r="C73" s="56">
        <v>6013</v>
      </c>
      <c r="D73" s="441">
        <v>9</v>
      </c>
      <c r="E73" s="442">
        <v>0</v>
      </c>
      <c r="F73" s="31" t="str">
        <f>IFERROR(VLOOKUP($C73,[20]Nod!$A$3:$E$992,4,FALSE)," ")</f>
        <v>MDN34</v>
      </c>
      <c r="G73" s="31">
        <f>IFERROR(VLOOKUP($C73,[20]Nod!$A$3:$E$992,5,FALSE)," ")</f>
        <v>4</v>
      </c>
      <c r="H73" s="468" t="s">
        <v>107</v>
      </c>
      <c r="I73" s="79"/>
      <c r="J73" s="428">
        <v>6100</v>
      </c>
      <c r="K73" s="90">
        <v>1.33</v>
      </c>
      <c r="L73" s="337" t="str">
        <f>VLOOKUP($J73,[19]Nod!$A$3:$E$991,4,FALSE)</f>
        <v>BAY230</v>
      </c>
      <c r="M73" s="337">
        <f>VLOOKUP($J73,[19]Nod!$A$3:$E$991,5,FALSE)</f>
        <v>8</v>
      </c>
    </row>
    <row r="74" spans="1:15" ht="15" customHeight="1" x14ac:dyDescent="0.25">
      <c r="A74" s="448" t="s">
        <v>109</v>
      </c>
      <c r="B74" s="3"/>
      <c r="C74" s="56">
        <v>6520</v>
      </c>
      <c r="D74" s="449">
        <v>19.8</v>
      </c>
      <c r="E74" s="442">
        <v>0</v>
      </c>
      <c r="F74" s="31" t="str">
        <f>IFERROR(VLOOKUP($C74,[20]Nod!$A$3:$E$992,4,FALSE)," ")</f>
        <v>SBA34</v>
      </c>
      <c r="G74" s="31">
        <f>IFERROR(VLOOKUP($C74,[20]Nod!$A$3:$E$992,5,FALSE)," ")</f>
        <v>4</v>
      </c>
      <c r="H74" s="443" t="s">
        <v>37</v>
      </c>
      <c r="I74" s="444"/>
      <c r="J74" s="445"/>
      <c r="K74" s="446"/>
      <c r="L74" s="337"/>
      <c r="M74" s="337"/>
    </row>
    <row r="75" spans="1:15" ht="15" customHeight="1" x14ac:dyDescent="0.25">
      <c r="A75" s="440" t="s">
        <v>113</v>
      </c>
      <c r="B75" s="3"/>
      <c r="C75" s="56">
        <v>6550</v>
      </c>
      <c r="D75" s="441">
        <v>7.62</v>
      </c>
      <c r="E75" s="442">
        <v>0</v>
      </c>
      <c r="F75" s="31" t="str">
        <f>IFERROR(VLOOKUP($C75,[20]Nod!$A$3:$E$992,4,FALSE)," ")</f>
        <v>BEV230</v>
      </c>
      <c r="G75" s="31">
        <f>IFERROR(VLOOKUP($C75,[20]Nod!$A$3:$E$992,5,FALSE)," ")</f>
        <v>4</v>
      </c>
      <c r="H75" s="447">
        <v>9</v>
      </c>
      <c r="I75" s="438"/>
      <c r="J75" s="437"/>
      <c r="K75" s="439">
        <f>SUM(K76:K82)</f>
        <v>153.73000000000002</v>
      </c>
      <c r="L75" s="337"/>
      <c r="M75" s="337"/>
    </row>
    <row r="76" spans="1:15" ht="15" customHeight="1" x14ac:dyDescent="0.25">
      <c r="A76" s="440" t="s">
        <v>323</v>
      </c>
      <c r="B76" s="3"/>
      <c r="C76" s="41">
        <v>6380</v>
      </c>
      <c r="D76" s="441">
        <v>10</v>
      </c>
      <c r="E76" s="442">
        <v>0</v>
      </c>
      <c r="F76" s="31" t="str">
        <f>IFERROR(VLOOKUP($C76,[20]Nod!$A$3:$E$992,4,FALSE)," ")</f>
        <v>BOQIII230</v>
      </c>
      <c r="G76" s="31">
        <f>IFERROR(VLOOKUP($C76,[20]Nod!$A$3:$E$992,5,FALSE)," ")</f>
        <v>4</v>
      </c>
      <c r="H76" s="429" t="s">
        <v>77</v>
      </c>
      <c r="I76" s="79"/>
      <c r="J76" s="428"/>
      <c r="K76" s="90"/>
      <c r="L76" s="337"/>
      <c r="M76" s="337"/>
    </row>
    <row r="77" spans="1:15" ht="15" customHeight="1" x14ac:dyDescent="0.25">
      <c r="A77" s="440" t="s">
        <v>324</v>
      </c>
      <c r="B77" s="3"/>
      <c r="C77" s="41">
        <v>6380</v>
      </c>
      <c r="D77" s="441">
        <v>10</v>
      </c>
      <c r="E77" s="442">
        <v>0</v>
      </c>
      <c r="F77" s="31" t="str">
        <f>IFERROR(VLOOKUP($C77,[20]Nod!$A$3:$E$992,4,FALSE)," ")</f>
        <v>BOQIII230</v>
      </c>
      <c r="G77" s="31">
        <f>IFERROR(VLOOKUP($C77,[20]Nod!$A$3:$E$992,5,FALSE)," ")</f>
        <v>4</v>
      </c>
      <c r="H77" s="95" t="s">
        <v>112</v>
      </c>
      <c r="I77" s="79"/>
      <c r="J77" s="428">
        <v>6059</v>
      </c>
      <c r="K77" s="75">
        <v>145.30000000000001</v>
      </c>
      <c r="L77" s="337" t="str">
        <f>VLOOKUP($J77,[19]Nod!$A$3:$E$991,4,FALSE)</f>
        <v>LM1115</v>
      </c>
      <c r="M77" s="337">
        <f>VLOOKUP($J77,[19]Nod!$A$3:$E$991,5,FALSE)</f>
        <v>9</v>
      </c>
    </row>
    <row r="78" spans="1:15" ht="15" customHeight="1" x14ac:dyDescent="0.25">
      <c r="A78" s="440" t="s">
        <v>325</v>
      </c>
      <c r="B78" s="3"/>
      <c r="C78" s="41">
        <v>6380</v>
      </c>
      <c r="D78" s="441">
        <v>10</v>
      </c>
      <c r="E78" s="442">
        <v>0</v>
      </c>
      <c r="F78" s="31" t="str">
        <f>IFERROR(VLOOKUP($C78,[20]Nod!$A$3:$E$992,4,FALSE)," ")</f>
        <v>BOQIII230</v>
      </c>
      <c r="G78" s="31">
        <f>IFERROR(VLOOKUP($C78,[20]Nod!$A$3:$E$992,5,FALSE)," ")</f>
        <v>4</v>
      </c>
      <c r="H78" s="429" t="s">
        <v>57</v>
      </c>
      <c r="I78" s="79"/>
      <c r="J78" s="428"/>
      <c r="K78" s="90"/>
      <c r="L78" s="337"/>
      <c r="M78" s="337"/>
    </row>
    <row r="79" spans="1:15" ht="15" customHeight="1" x14ac:dyDescent="0.25">
      <c r="A79" s="440" t="s">
        <v>326</v>
      </c>
      <c r="B79" s="3"/>
      <c r="C79" s="41">
        <v>6380</v>
      </c>
      <c r="D79" s="441">
        <v>10</v>
      </c>
      <c r="E79" s="442">
        <v>0</v>
      </c>
      <c r="F79" s="31" t="str">
        <f>IFERROR(VLOOKUP($C79,[20]Nod!$A$3:$E$992,4,FALSE)," ")</f>
        <v>BOQIII230</v>
      </c>
      <c r="G79" s="31">
        <f>IFERROR(VLOOKUP($C79,[20]Nod!$A$3:$E$992,5,FALSE)," ")</f>
        <v>4</v>
      </c>
      <c r="H79" s="95" t="s">
        <v>115</v>
      </c>
      <c r="I79" s="79"/>
      <c r="J79" s="428">
        <v>6170</v>
      </c>
      <c r="K79" s="75">
        <v>7.25</v>
      </c>
      <c r="L79" s="337" t="str">
        <f>VLOOKUP($J79,[19]Nod!$A$3:$E$991,4,FALSE)</f>
        <v>CPA115</v>
      </c>
      <c r="M79" s="337">
        <f>VLOOKUP($J79,[19]Nod!$A$3:$E$991,5,FALSE)</f>
        <v>9</v>
      </c>
    </row>
    <row r="80" spans="1:15" ht="15" customHeight="1" x14ac:dyDescent="0.25">
      <c r="A80" s="440" t="s">
        <v>327</v>
      </c>
      <c r="B80" s="3"/>
      <c r="C80" s="57">
        <v>6013</v>
      </c>
      <c r="D80" s="441">
        <v>9.9600000000000009</v>
      </c>
      <c r="E80" s="442">
        <v>0</v>
      </c>
      <c r="F80" s="31" t="str">
        <f>IFERROR(VLOOKUP($C80,[20]Nod!$A$3:$E$992,4,FALSE)," ")</f>
        <v>MDN34</v>
      </c>
      <c r="G80" s="31">
        <f>IFERROR(VLOOKUP($C80,[20]Nod!$A$3:$E$992,5,FALSE)," ")</f>
        <v>4</v>
      </c>
      <c r="H80" s="95" t="s">
        <v>59</v>
      </c>
      <c r="I80" s="79"/>
      <c r="J80" s="428">
        <v>6059</v>
      </c>
      <c r="K80" s="75">
        <v>1.18</v>
      </c>
      <c r="L80" s="337" t="str">
        <f>VLOOKUP($J80,[19]Nod!$A$3:$E$991,4,FALSE)</f>
        <v>LM1115</v>
      </c>
      <c r="M80" s="337">
        <f>VLOOKUP($J80,[19]Nod!$A$3:$E$991,5,FALSE)</f>
        <v>9</v>
      </c>
    </row>
    <row r="81" spans="1:13" ht="15" customHeight="1" x14ac:dyDescent="0.25">
      <c r="A81" s="440" t="s">
        <v>328</v>
      </c>
      <c r="B81" s="3"/>
      <c r="C81" s="57">
        <v>6013</v>
      </c>
      <c r="D81" s="441">
        <v>9.9600000000000009</v>
      </c>
      <c r="E81" s="442">
        <v>0</v>
      </c>
      <c r="F81" s="31" t="str">
        <f>IFERROR(VLOOKUP($C81,[20]Nod!$A$3:$E$992,4,FALSE)," ")</f>
        <v>MDN34</v>
      </c>
      <c r="G81" s="31">
        <f>IFERROR(VLOOKUP($C81,[20]Nod!$A$3:$E$992,5,FALSE)," ")</f>
        <v>4</v>
      </c>
      <c r="H81" s="95" t="s">
        <v>329</v>
      </c>
      <c r="I81" s="79"/>
      <c r="J81" s="428">
        <v>6173</v>
      </c>
      <c r="K81" s="75">
        <v>0</v>
      </c>
      <c r="L81" s="337" t="str">
        <f>VLOOKUP($J81,[19]Nod!$A$3:$E$991,4,FALSE)</f>
        <v>STR115</v>
      </c>
      <c r="M81" s="337">
        <f>VLOOKUP($J81,[19]Nod!$A$3:$E$991,5,FALSE)</f>
        <v>9</v>
      </c>
    </row>
    <row r="82" spans="1:13" ht="15" customHeight="1" x14ac:dyDescent="0.25">
      <c r="A82" s="448" t="s">
        <v>330</v>
      </c>
      <c r="B82" s="3"/>
      <c r="C82" s="57">
        <v>6013</v>
      </c>
      <c r="D82" s="441"/>
      <c r="E82" s="442">
        <v>0</v>
      </c>
      <c r="F82" s="31" t="str">
        <f>IFERROR(VLOOKUP($C82,[20]Nod!$A$3:$E$992,4,FALSE)," ")</f>
        <v>MDN34</v>
      </c>
      <c r="G82" s="31">
        <f>IFERROR(VLOOKUP($C82,[20]Nod!$A$3:$E$992,5,FALSE)," ")</f>
        <v>4</v>
      </c>
      <c r="H82" s="443" t="s">
        <v>37</v>
      </c>
      <c r="I82" s="444"/>
      <c r="J82" s="445"/>
      <c r="K82" s="446"/>
      <c r="L82" s="337"/>
      <c r="M82" s="337"/>
    </row>
    <row r="83" spans="1:13" ht="15" customHeight="1" x14ac:dyDescent="0.25">
      <c r="A83" s="440" t="s">
        <v>331</v>
      </c>
      <c r="B83" s="3"/>
      <c r="C83" s="57">
        <v>6013</v>
      </c>
      <c r="D83" s="441"/>
      <c r="E83" s="442">
        <v>0</v>
      </c>
      <c r="F83" s="31" t="str">
        <f>IFERROR(VLOOKUP($C83,[20]Nod!$A$3:$E$992,4,FALSE)," ")</f>
        <v>MDN34</v>
      </c>
      <c r="G83" s="31">
        <f>IFERROR(VLOOKUP($C83,[20]Nod!$A$3:$E$992,5,FALSE)," ")</f>
        <v>4</v>
      </c>
      <c r="H83" s="453">
        <v>10</v>
      </c>
      <c r="I83" s="454"/>
      <c r="J83" s="455"/>
      <c r="K83" s="456">
        <f>SUM(K84:K87)</f>
        <v>72.75112541961515</v>
      </c>
      <c r="L83" s="337"/>
      <c r="M83" s="337"/>
    </row>
    <row r="84" spans="1:13" ht="15" customHeight="1" x14ac:dyDescent="0.25">
      <c r="A84" s="470" t="s">
        <v>84</v>
      </c>
      <c r="B84" s="3"/>
      <c r="C84" s="41">
        <v>6182</v>
      </c>
      <c r="D84" s="441">
        <v>4.75</v>
      </c>
      <c r="E84" s="442">
        <v>0</v>
      </c>
      <c r="F84" s="31" t="str">
        <f>IFERROR(VLOOKUP($C84,[20]Nod!$A$3:$E$992,4,FALSE)," ")</f>
        <v>VEL230</v>
      </c>
      <c r="G84" s="31">
        <f>IFERROR(VLOOKUP($C84,[20]Nod!$A$3:$E$992,5,FALSE)," ")</f>
        <v>4</v>
      </c>
      <c r="H84" s="429" t="s">
        <v>31</v>
      </c>
      <c r="I84" s="79"/>
      <c r="J84" s="428"/>
      <c r="K84" s="90"/>
      <c r="L84" s="337"/>
      <c r="M84" s="337"/>
    </row>
    <row r="85" spans="1:13" ht="15" customHeight="1" x14ac:dyDescent="0.25">
      <c r="A85" s="440" t="s">
        <v>332</v>
      </c>
      <c r="B85" s="3"/>
      <c r="C85" s="41">
        <v>6182</v>
      </c>
      <c r="D85" s="441"/>
      <c r="E85" s="442">
        <v>0</v>
      </c>
      <c r="F85" s="31" t="str">
        <f>IFERROR(VLOOKUP($C85,[20]Nod!$A$3:$E$992,4,FALSE)," ")</f>
        <v>VEL230</v>
      </c>
      <c r="G85" s="31">
        <f>IFERROR(VLOOKUP($C85,[20]Nod!$A$3:$E$992,5,FALSE)," ")</f>
        <v>4</v>
      </c>
      <c r="H85" s="95" t="s">
        <v>333</v>
      </c>
      <c r="I85" s="79"/>
      <c r="J85" s="428">
        <v>6340</v>
      </c>
      <c r="K85" s="75">
        <v>27.581125419615152</v>
      </c>
      <c r="L85" s="337" t="str">
        <f>VLOOKUP($J85,[19]Nod!$A$3:$E$991,4,FALSE)</f>
        <v>CAN230</v>
      </c>
      <c r="M85" s="337">
        <f>VLOOKUP($J85,[19]Nod!$A$3:$E$991,5,FALSE)</f>
        <v>10</v>
      </c>
    </row>
    <row r="86" spans="1:13" ht="15" customHeight="1" x14ac:dyDescent="0.25">
      <c r="A86" s="440" t="s">
        <v>334</v>
      </c>
      <c r="B86" s="3"/>
      <c r="C86" s="41">
        <v>6182</v>
      </c>
      <c r="D86" s="441"/>
      <c r="E86" s="442">
        <v>0</v>
      </c>
      <c r="F86" s="31" t="str">
        <f>IFERROR(VLOOKUP($C86,[20]Nod!$A$3:$E$992,4,FALSE)," ")</f>
        <v>VEL230</v>
      </c>
      <c r="G86" s="31">
        <f>IFERROR(VLOOKUP($C86,[20]Nod!$A$3:$E$992,5,FALSE)," ")</f>
        <v>4</v>
      </c>
      <c r="H86" s="95" t="s">
        <v>197</v>
      </c>
      <c r="I86" s="79"/>
      <c r="J86" s="428">
        <v>6262</v>
      </c>
      <c r="K86" s="75">
        <v>45.17</v>
      </c>
      <c r="L86" s="337" t="str">
        <f>VLOOKUP($J86,[19]Nod!$A$3:$E$991,4,FALSE)</f>
        <v>CHA34</v>
      </c>
      <c r="M86" s="337">
        <f>VLOOKUP($J86,[19]Nod!$A$3:$E$991,5,FALSE)</f>
        <v>10</v>
      </c>
    </row>
    <row r="87" spans="1:13" ht="15" customHeight="1" x14ac:dyDescent="0.25">
      <c r="A87" s="440" t="s">
        <v>335</v>
      </c>
      <c r="C87" s="41">
        <v>6380</v>
      </c>
      <c r="D87" s="441"/>
      <c r="E87" s="442"/>
      <c r="F87" s="31" t="str">
        <f>IFERROR(VLOOKUP($C87,[20]Nod!$A$3:$E$992,4,FALSE)," ")</f>
        <v>BOQIII230</v>
      </c>
      <c r="G87" s="31">
        <f>IFERROR(VLOOKUP($C87,[20]Nod!$A$3:$E$992,5,FALSE)," ")</f>
        <v>4</v>
      </c>
      <c r="H87" s="443" t="s">
        <v>37</v>
      </c>
      <c r="I87" s="444"/>
      <c r="J87" s="445"/>
      <c r="K87" s="446"/>
      <c r="L87" s="337"/>
      <c r="M87" s="337"/>
    </row>
    <row r="88" spans="1:13" ht="15" customHeight="1" x14ac:dyDescent="0.25">
      <c r="A88" s="440" t="s">
        <v>336</v>
      </c>
      <c r="C88" s="41">
        <v>6380</v>
      </c>
      <c r="D88" s="441"/>
      <c r="E88" s="442"/>
      <c r="F88" s="31" t="str">
        <f>IFERROR(VLOOKUP($C88,[20]Nod!$A$3:$E$992,4,FALSE)," ")</f>
        <v>BOQIII230</v>
      </c>
      <c r="G88" s="31">
        <f>IFERROR(VLOOKUP($C88,[20]Nod!$A$3:$E$992,5,FALSE)," ")</f>
        <v>4</v>
      </c>
      <c r="L88" s="337"/>
      <c r="M88" s="337"/>
    </row>
    <row r="89" spans="1:13" ht="15" customHeight="1" x14ac:dyDescent="0.25">
      <c r="A89" s="440" t="s">
        <v>129</v>
      </c>
      <c r="C89" s="41">
        <v>6380</v>
      </c>
      <c r="D89" s="441"/>
      <c r="E89" s="442"/>
      <c r="F89" s="31" t="str">
        <f>IFERROR(VLOOKUP($C89,[20]Nod!$A$3:$E$992,4,FALSE)," ")</f>
        <v>BOQIII230</v>
      </c>
      <c r="G89" s="31">
        <f>IFERROR(VLOOKUP($C89,[20]Nod!$A$3:$E$992,5,FALSE)," ")</f>
        <v>4</v>
      </c>
      <c r="L89" s="337"/>
      <c r="M89" s="337"/>
    </row>
    <row r="90" spans="1:13" ht="15" customHeight="1" x14ac:dyDescent="0.25">
      <c r="A90" s="440" t="s">
        <v>337</v>
      </c>
      <c r="C90" s="41">
        <v>6013</v>
      </c>
      <c r="D90" s="471"/>
      <c r="E90" s="442"/>
      <c r="F90" s="31" t="str">
        <f>IFERROR(VLOOKUP($C90,[20]Nod!$A$3:$E$992,4,FALSE)," ")</f>
        <v>MDN34</v>
      </c>
      <c r="G90" s="31">
        <f>IFERROR(VLOOKUP($C90,[20]Nod!$A$3:$E$992,5,FALSE)," ")</f>
        <v>4</v>
      </c>
      <c r="L90" s="337"/>
      <c r="M90" s="337"/>
    </row>
    <row r="91" spans="1:13" ht="15" customHeight="1" x14ac:dyDescent="0.2">
      <c r="A91" s="440" t="s">
        <v>338</v>
      </c>
      <c r="C91" s="41">
        <v>6013</v>
      </c>
      <c r="D91" s="469"/>
      <c r="E91" s="442"/>
      <c r="F91" s="31" t="str">
        <f>IFERROR(VLOOKUP($C91,[20]Nod!$A$3:$E$992,4,FALSE)," ")</f>
        <v>MDN34</v>
      </c>
      <c r="G91" s="31">
        <f>IFERROR(VLOOKUP($C91,[20]Nod!$A$3:$E$992,5,FALSE)," ")</f>
        <v>4</v>
      </c>
      <c r="L91" s="337"/>
      <c r="M91" s="337"/>
    </row>
    <row r="92" spans="1:13" ht="15" customHeight="1" x14ac:dyDescent="0.25">
      <c r="A92" s="55" t="s">
        <v>37</v>
      </c>
      <c r="B92" s="43"/>
      <c r="C92" s="44"/>
      <c r="D92" s="44"/>
      <c r="E92" s="461"/>
      <c r="F92" s="31" t="str">
        <f>IFERROR(VLOOKUP($C92,[20]Nod!$A$3:$E$992,4,FALSE)," ")</f>
        <v xml:space="preserve"> </v>
      </c>
      <c r="G92" s="31" t="str">
        <f>IFERROR(VLOOKUP($C92,[20]Nod!$A$3:$E$992,5,FALSE)," ")</f>
        <v xml:space="preserve"> </v>
      </c>
      <c r="L92" s="337"/>
      <c r="M92" s="337"/>
    </row>
    <row r="93" spans="1:13" ht="15" customHeight="1" x14ac:dyDescent="0.25">
      <c r="A93" s="49">
        <v>5</v>
      </c>
      <c r="B93" s="45"/>
      <c r="C93" s="46"/>
      <c r="D93" s="472">
        <f>SUM(D94:D139)</f>
        <v>815.44862099999989</v>
      </c>
      <c r="E93" s="436"/>
      <c r="F93" s="31" t="str">
        <f>IFERROR(VLOOKUP($C93,[20]Nod!$A$3:$E$992,4,FALSE)," ")</f>
        <v xml:space="preserve"> </v>
      </c>
      <c r="G93" s="31" t="str">
        <f>IFERROR(VLOOKUP($C93,[20]Nod!$A$3:$E$992,5,FALSE)," ")</f>
        <v xml:space="preserve"> </v>
      </c>
      <c r="L93" s="337"/>
      <c r="M93" s="337"/>
    </row>
    <row r="94" spans="1:13" ht="15" customHeight="1" x14ac:dyDescent="0.25">
      <c r="A94" s="440" t="s">
        <v>339</v>
      </c>
      <c r="C94" s="59">
        <v>6010</v>
      </c>
      <c r="D94" s="441">
        <v>6.66</v>
      </c>
      <c r="E94" s="442">
        <v>0</v>
      </c>
      <c r="F94" s="31" t="str">
        <f>IFERROR(VLOOKUP($C94,[20]Nod!$A$3:$E$992,4,FALSE)," ")</f>
        <v>LSA34</v>
      </c>
      <c r="G94" s="31">
        <f>IFERROR(VLOOKUP($C94,[20]Nod!$A$3:$E$992,5,FALSE)," ")</f>
        <v>5</v>
      </c>
      <c r="L94" s="337"/>
      <c r="M94" s="337"/>
    </row>
    <row r="95" spans="1:13" ht="15" customHeight="1" x14ac:dyDescent="0.25">
      <c r="A95" s="440" t="s">
        <v>137</v>
      </c>
      <c r="C95" s="59">
        <v>6010</v>
      </c>
      <c r="D95" s="441">
        <v>7</v>
      </c>
      <c r="E95" s="473">
        <v>0</v>
      </c>
      <c r="F95" s="31" t="str">
        <f>IFERROR(VLOOKUP($C95,[20]Nod!$A$3:$E$992,4,FALSE)," ")</f>
        <v>LSA34</v>
      </c>
      <c r="G95" s="31">
        <f>IFERROR(VLOOKUP($C95,[20]Nod!$A$3:$E$992,5,FALSE)," ")</f>
        <v>5</v>
      </c>
      <c r="L95" s="337"/>
      <c r="M95" s="337"/>
    </row>
    <row r="96" spans="1:13" ht="15" customHeight="1" x14ac:dyDescent="0.25">
      <c r="A96" s="459" t="s">
        <v>340</v>
      </c>
      <c r="C96" s="59">
        <v>6010</v>
      </c>
      <c r="D96" s="441">
        <v>55</v>
      </c>
      <c r="E96" s="442">
        <v>0</v>
      </c>
      <c r="F96" s="31" t="str">
        <f>IFERROR(VLOOKUP($C96,[20]Nod!$A$3:$E$992,4,FALSE)," ")</f>
        <v>LSA34</v>
      </c>
      <c r="G96" s="31">
        <f>IFERROR(VLOOKUP($C96,[20]Nod!$A$3:$E$992,5,FALSE)," ")</f>
        <v>5</v>
      </c>
      <c r="I96" s="427"/>
      <c r="L96" s="337"/>
      <c r="M96" s="337"/>
    </row>
    <row r="97" spans="1:13" ht="15" customHeight="1" x14ac:dyDescent="0.25">
      <c r="A97" s="459" t="s">
        <v>341</v>
      </c>
      <c r="C97" s="59">
        <v>6010</v>
      </c>
      <c r="D97" s="441">
        <v>17.5</v>
      </c>
      <c r="E97" s="442">
        <v>0</v>
      </c>
      <c r="F97" s="31" t="str">
        <f>IFERROR(VLOOKUP($C97,[20]Nod!$A$3:$E$992,4,FALSE)," ")</f>
        <v>LSA34</v>
      </c>
      <c r="G97" s="31">
        <f>IFERROR(VLOOKUP($C97,[20]Nod!$A$3:$E$992,5,FALSE)," ")</f>
        <v>5</v>
      </c>
      <c r="L97" s="337"/>
      <c r="M97" s="337"/>
    </row>
    <row r="98" spans="1:13" ht="15" customHeight="1" x14ac:dyDescent="0.25">
      <c r="A98" s="440" t="s">
        <v>342</v>
      </c>
      <c r="C98" s="59">
        <v>6010</v>
      </c>
      <c r="D98" s="441">
        <v>52.5</v>
      </c>
      <c r="E98" s="442">
        <v>0</v>
      </c>
      <c r="F98" s="31" t="str">
        <f>IFERROR(VLOOKUP($C98,[20]Nod!$A$3:$E$992,4,FALSE)," ")</f>
        <v>LSA34</v>
      </c>
      <c r="G98" s="31">
        <f>IFERROR(VLOOKUP($C98,[20]Nod!$A$3:$E$992,5,FALSE)," ")</f>
        <v>5</v>
      </c>
      <c r="L98" s="337"/>
      <c r="M98" s="337"/>
    </row>
    <row r="99" spans="1:13" ht="15" customHeight="1" x14ac:dyDescent="0.25">
      <c r="A99" s="440" t="s">
        <v>343</v>
      </c>
      <c r="C99" s="59">
        <v>6010</v>
      </c>
      <c r="D99" s="441">
        <v>51.75</v>
      </c>
      <c r="E99" s="442">
        <v>0</v>
      </c>
      <c r="F99" s="31" t="str">
        <f>IFERROR(VLOOKUP($C99,[20]Nod!$A$3:$E$992,4,FALSE)," ")</f>
        <v>LSA34</v>
      </c>
      <c r="G99" s="31">
        <f>IFERROR(VLOOKUP($C99,[20]Nod!$A$3:$E$992,5,FALSE)," ")</f>
        <v>5</v>
      </c>
      <c r="L99" s="337"/>
      <c r="M99" s="337"/>
    </row>
    <row r="100" spans="1:13" ht="15" customHeight="1" x14ac:dyDescent="0.25">
      <c r="A100" s="440" t="s">
        <v>344</v>
      </c>
      <c r="C100" s="59">
        <v>6010</v>
      </c>
      <c r="D100" s="441">
        <v>32.5</v>
      </c>
      <c r="E100" s="442">
        <v>0</v>
      </c>
      <c r="F100" s="31" t="str">
        <f>IFERROR(VLOOKUP($C100,[20]Nod!$A$3:$E$992,4,FALSE)," ")</f>
        <v>LSA34</v>
      </c>
      <c r="G100" s="31">
        <f>IFERROR(VLOOKUP($C100,[20]Nod!$A$3:$E$992,5,FALSE)," ")</f>
        <v>5</v>
      </c>
      <c r="L100" s="337"/>
      <c r="M100" s="337"/>
    </row>
    <row r="101" spans="1:13" ht="15" customHeight="1" x14ac:dyDescent="0.25">
      <c r="A101" s="440" t="s">
        <v>345</v>
      </c>
      <c r="C101" s="59">
        <v>6010</v>
      </c>
      <c r="D101" s="441">
        <v>50</v>
      </c>
      <c r="E101" s="442">
        <v>0</v>
      </c>
      <c r="F101" s="31" t="str">
        <f>IFERROR(VLOOKUP($C101,[20]Nod!$A$3:$E$992,4,FALSE)," ")</f>
        <v>LSA34</v>
      </c>
      <c r="G101" s="31">
        <f>IFERROR(VLOOKUP($C101,[20]Nod!$A$3:$E$992,5,FALSE)," ")</f>
        <v>5</v>
      </c>
      <c r="L101" s="337"/>
      <c r="M101" s="337"/>
    </row>
    <row r="102" spans="1:13" ht="15" customHeight="1" x14ac:dyDescent="0.25">
      <c r="A102" s="440" t="s">
        <v>346</v>
      </c>
      <c r="C102" s="59">
        <v>6010</v>
      </c>
      <c r="D102" s="474">
        <f>+'Datos fijos AÑO 1'!D122</f>
        <v>136.978621</v>
      </c>
      <c r="E102" s="442">
        <v>0</v>
      </c>
      <c r="F102" s="31" t="str">
        <f>IFERROR(VLOOKUP($C102,[20]Nod!$A$3:$E$992,4,FALSE)," ")</f>
        <v>LSA34</v>
      </c>
      <c r="G102" s="31">
        <f>IFERROR(VLOOKUP($C102,[20]Nod!$A$3:$E$992,5,FALSE)," ")</f>
        <v>5</v>
      </c>
      <c r="L102" s="337"/>
      <c r="M102" s="337"/>
    </row>
    <row r="103" spans="1:13" ht="15" customHeight="1" x14ac:dyDescent="0.25">
      <c r="A103" s="440" t="s">
        <v>347</v>
      </c>
      <c r="C103" s="59">
        <v>6010</v>
      </c>
      <c r="D103" s="441">
        <v>120</v>
      </c>
      <c r="E103" s="442">
        <v>0</v>
      </c>
      <c r="F103" s="31" t="str">
        <f>IFERROR(VLOOKUP($C103,[20]Nod!$A$3:$E$992,4,FALSE)," ")</f>
        <v>LSA34</v>
      </c>
      <c r="G103" s="31">
        <f>IFERROR(VLOOKUP($C103,[20]Nod!$A$3:$E$992,5,FALSE)," ")</f>
        <v>5</v>
      </c>
      <c r="L103" s="337"/>
      <c r="M103" s="337"/>
    </row>
    <row r="104" spans="1:13" ht="15" customHeight="1" x14ac:dyDescent="0.25">
      <c r="A104" s="440" t="s">
        <v>348</v>
      </c>
      <c r="C104" s="59">
        <v>6010</v>
      </c>
      <c r="D104" s="441">
        <v>66</v>
      </c>
      <c r="E104" s="442">
        <v>0</v>
      </c>
      <c r="F104" s="31" t="str">
        <f>IFERROR(VLOOKUP($C104,[20]Nod!$A$3:$E$992,4,FALSE)," ")</f>
        <v>LSA34</v>
      </c>
      <c r="G104" s="31">
        <f>IFERROR(VLOOKUP($C104,[20]Nod!$A$3:$E$992,5,FALSE)," ")</f>
        <v>5</v>
      </c>
      <c r="L104" s="337"/>
      <c r="M104" s="337"/>
    </row>
    <row r="105" spans="1:13" ht="15" customHeight="1" x14ac:dyDescent="0.25">
      <c r="A105" s="459" t="s">
        <v>349</v>
      </c>
      <c r="C105" s="59">
        <v>6010</v>
      </c>
      <c r="D105" s="441">
        <v>9.99</v>
      </c>
      <c r="E105" s="442">
        <v>0</v>
      </c>
      <c r="F105" s="31" t="str">
        <f>IFERROR(VLOOKUP($C105,[20]Nod!$A$3:$E$992,4,FALSE)," ")</f>
        <v>LSA34</v>
      </c>
      <c r="G105" s="31">
        <f>IFERROR(VLOOKUP($C105,[20]Nod!$A$3:$E$992,5,FALSE)," ")</f>
        <v>5</v>
      </c>
      <c r="L105" s="337"/>
      <c r="M105" s="337"/>
    </row>
    <row r="106" spans="1:13" ht="15" customHeight="1" x14ac:dyDescent="0.25">
      <c r="A106" s="459" t="s">
        <v>350</v>
      </c>
      <c r="C106" s="59">
        <v>6010</v>
      </c>
      <c r="D106" s="441">
        <v>9.99</v>
      </c>
      <c r="E106" s="442">
        <v>0</v>
      </c>
      <c r="F106" s="31" t="str">
        <f>IFERROR(VLOOKUP($C106,[20]Nod!$A$3:$E$992,4,FALSE)," ")</f>
        <v>LSA34</v>
      </c>
      <c r="G106" s="31">
        <f>IFERROR(VLOOKUP($C106,[20]Nod!$A$3:$E$992,5,FALSE)," ")</f>
        <v>5</v>
      </c>
      <c r="L106" s="337"/>
      <c r="M106" s="337"/>
    </row>
    <row r="107" spans="1:13" ht="15" customHeight="1" x14ac:dyDescent="0.25">
      <c r="A107" s="459" t="s">
        <v>351</v>
      </c>
      <c r="C107" s="59">
        <v>6010</v>
      </c>
      <c r="D107" s="475">
        <v>4.8</v>
      </c>
      <c r="E107" s="442">
        <v>0</v>
      </c>
      <c r="F107" s="31" t="str">
        <f>IFERROR(VLOOKUP($C107,[20]Nod!$A$3:$E$992,4,FALSE)," ")</f>
        <v>LSA34</v>
      </c>
      <c r="G107" s="31">
        <f>IFERROR(VLOOKUP($C107,[20]Nod!$A$3:$E$992,5,FALSE)," ")</f>
        <v>5</v>
      </c>
      <c r="K107" s="427"/>
      <c r="L107" s="337"/>
      <c r="M107" s="337"/>
    </row>
    <row r="108" spans="1:13" ht="15" customHeight="1" x14ac:dyDescent="0.25">
      <c r="A108" s="476" t="s">
        <v>352</v>
      </c>
      <c r="C108" s="59">
        <v>6010</v>
      </c>
      <c r="D108" s="477">
        <v>0.96</v>
      </c>
      <c r="E108" s="442">
        <v>0</v>
      </c>
      <c r="F108" s="31" t="str">
        <f>IFERROR(VLOOKUP($C108,[20]Nod!$A$3:$E$992,4,FALSE)," ")</f>
        <v>LSA34</v>
      </c>
      <c r="G108" s="31">
        <f>IFERROR(VLOOKUP($C108,[20]Nod!$A$3:$E$992,5,FALSE)," ")</f>
        <v>5</v>
      </c>
      <c r="K108" s="427"/>
      <c r="L108" s="337"/>
      <c r="M108" s="337"/>
    </row>
    <row r="109" spans="1:13" ht="15" customHeight="1" x14ac:dyDescent="0.25">
      <c r="A109" s="459" t="s">
        <v>353</v>
      </c>
      <c r="C109" s="59">
        <v>6010</v>
      </c>
      <c r="D109" s="441">
        <v>8.5</v>
      </c>
      <c r="E109" s="442">
        <v>0</v>
      </c>
      <c r="F109" s="31" t="str">
        <f>IFERROR(VLOOKUP($C109,[20]Nod!$A$3:$E$992,4,FALSE)," ")</f>
        <v>LSA34</v>
      </c>
      <c r="G109" s="31">
        <f>IFERROR(VLOOKUP($C109,[20]Nod!$A$3:$E$992,5,FALSE)," ")</f>
        <v>5</v>
      </c>
      <c r="K109" s="427"/>
      <c r="L109" s="337"/>
      <c r="M109" s="337"/>
    </row>
    <row r="110" spans="1:13" ht="15" customHeight="1" x14ac:dyDescent="0.25">
      <c r="A110" s="459" t="s">
        <v>354</v>
      </c>
      <c r="C110" s="39">
        <v>6460</v>
      </c>
      <c r="D110" s="441">
        <v>8.5</v>
      </c>
      <c r="E110" s="442">
        <v>0</v>
      </c>
      <c r="F110" s="31" t="str">
        <f>IFERROR(VLOOKUP($C110,[20]Nod!$A$3:$E$992,4,FALSE)," ")</f>
        <v>ECO230</v>
      </c>
      <c r="G110" s="31">
        <f>IFERROR(VLOOKUP($C110,[20]Nod!$A$3:$E$992,5,FALSE)," ")</f>
        <v>5</v>
      </c>
      <c r="K110" s="427"/>
      <c r="L110" s="337"/>
      <c r="M110" s="337"/>
    </row>
    <row r="111" spans="1:13" ht="15" customHeight="1" x14ac:dyDescent="0.25">
      <c r="A111" s="459" t="s">
        <v>355</v>
      </c>
      <c r="C111" s="39">
        <v>6460</v>
      </c>
      <c r="D111" s="441">
        <v>9.52</v>
      </c>
      <c r="E111" s="442">
        <v>0</v>
      </c>
      <c r="F111" s="31" t="str">
        <f>IFERROR(VLOOKUP($C111,[20]Nod!$A$3:$E$992,4,FALSE)," ")</f>
        <v>ECO230</v>
      </c>
      <c r="G111" s="31">
        <f>IFERROR(VLOOKUP($C111,[20]Nod!$A$3:$E$992,5,FALSE)," ")</f>
        <v>5</v>
      </c>
      <c r="K111" s="427"/>
      <c r="L111" s="337"/>
      <c r="M111" s="337"/>
    </row>
    <row r="112" spans="1:13" ht="15" customHeight="1" x14ac:dyDescent="0.25">
      <c r="A112" s="476" t="s">
        <v>356</v>
      </c>
      <c r="C112" s="39">
        <v>6460</v>
      </c>
      <c r="D112" s="449">
        <v>10.78</v>
      </c>
      <c r="E112" s="442">
        <v>0</v>
      </c>
      <c r="F112" s="31" t="str">
        <f>IFERROR(VLOOKUP($C112,[20]Nod!$A$3:$E$992,4,FALSE)," ")</f>
        <v>ECO230</v>
      </c>
      <c r="G112" s="31">
        <f>IFERROR(VLOOKUP($C112,[20]Nod!$A$3:$E$992,5,FALSE)," ")</f>
        <v>5</v>
      </c>
      <c r="K112" s="427"/>
      <c r="L112" s="337"/>
      <c r="M112" s="337"/>
    </row>
    <row r="113" spans="1:13" ht="15" customHeight="1" x14ac:dyDescent="0.25">
      <c r="A113" s="459" t="s">
        <v>357</v>
      </c>
      <c r="C113" s="39">
        <v>6460</v>
      </c>
      <c r="D113" s="441">
        <v>8.5</v>
      </c>
      <c r="E113" s="442">
        <v>0</v>
      </c>
      <c r="F113" s="31" t="str">
        <f>IFERROR(VLOOKUP($C113,[20]Nod!$A$3:$E$992,4,FALSE)," ")</f>
        <v>ECO230</v>
      </c>
      <c r="G113" s="31">
        <f>IFERROR(VLOOKUP($C113,[20]Nod!$A$3:$E$992,5,FALSE)," ")</f>
        <v>5</v>
      </c>
      <c r="K113" s="427"/>
      <c r="L113" s="337"/>
      <c r="M113" s="337"/>
    </row>
    <row r="114" spans="1:13" ht="15" customHeight="1" x14ac:dyDescent="0.25">
      <c r="A114" s="459" t="s">
        <v>358</v>
      </c>
      <c r="C114" s="39">
        <v>6460</v>
      </c>
      <c r="D114" s="441">
        <v>10</v>
      </c>
      <c r="E114" s="442">
        <v>0</v>
      </c>
      <c r="F114" s="31" t="str">
        <f>IFERROR(VLOOKUP($C114,[20]Nod!$A$3:$E$992,4,FALSE)," ")</f>
        <v>ECO230</v>
      </c>
      <c r="G114" s="31">
        <f>IFERROR(VLOOKUP($C114,[20]Nod!$A$3:$E$992,5,FALSE)," ")</f>
        <v>5</v>
      </c>
      <c r="K114" s="427"/>
      <c r="L114" s="337"/>
      <c r="M114" s="337"/>
    </row>
    <row r="115" spans="1:13" ht="15" customHeight="1" x14ac:dyDescent="0.25">
      <c r="A115" s="459" t="s">
        <v>359</v>
      </c>
      <c r="B115" s="61"/>
      <c r="C115" s="62">
        <v>6460</v>
      </c>
      <c r="D115" s="441">
        <v>10</v>
      </c>
      <c r="E115" s="442">
        <v>0</v>
      </c>
      <c r="F115" s="31" t="str">
        <f>IFERROR(VLOOKUP($C115,[20]Nod!$A$3:$E$992,4,FALSE)," ")</f>
        <v>ECO230</v>
      </c>
      <c r="G115" s="31">
        <f>IFERROR(VLOOKUP($C115,[20]Nod!$A$3:$E$992,5,FALSE)," ")</f>
        <v>5</v>
      </c>
      <c r="K115" s="427"/>
      <c r="L115" s="337"/>
      <c r="M115" s="337"/>
    </row>
    <row r="116" spans="1:13" ht="15" customHeight="1" x14ac:dyDescent="0.25">
      <c r="A116" s="476" t="s">
        <v>360</v>
      </c>
      <c r="C116" s="59">
        <v>6010</v>
      </c>
      <c r="D116" s="449">
        <v>16</v>
      </c>
      <c r="E116" s="442">
        <v>0</v>
      </c>
      <c r="F116" s="31" t="str">
        <f>IFERROR(VLOOKUP($C116,[20]Nod!$A$3:$E$992,4,FALSE)," ")</f>
        <v>LSA34</v>
      </c>
      <c r="G116" s="31">
        <f>IFERROR(VLOOKUP($C116,[20]Nod!$A$3:$E$992,5,FALSE)," ")</f>
        <v>5</v>
      </c>
      <c r="K116" s="427"/>
      <c r="L116" s="337"/>
      <c r="M116" s="337"/>
    </row>
    <row r="117" spans="1:13" ht="15" customHeight="1" x14ac:dyDescent="0.25">
      <c r="A117" s="459" t="s">
        <v>361</v>
      </c>
      <c r="C117" s="59">
        <v>6010</v>
      </c>
      <c r="D117" s="441">
        <v>9.9</v>
      </c>
      <c r="E117" s="442">
        <v>0</v>
      </c>
      <c r="F117" s="31" t="str">
        <f>IFERROR(VLOOKUP($C117,[20]Nod!$A$3:$E$992,4,FALSE)," ")</f>
        <v>LSA34</v>
      </c>
      <c r="G117" s="31">
        <f>IFERROR(VLOOKUP($C117,[20]Nod!$A$3:$E$992,5,FALSE)," ")</f>
        <v>5</v>
      </c>
      <c r="K117" s="427"/>
      <c r="L117" s="337"/>
      <c r="M117" s="337"/>
    </row>
    <row r="118" spans="1:13" ht="15" customHeight="1" x14ac:dyDescent="0.25">
      <c r="A118" s="459" t="s">
        <v>362</v>
      </c>
      <c r="C118" s="59">
        <v>6008</v>
      </c>
      <c r="D118" s="441">
        <v>9.9700000000000006</v>
      </c>
      <c r="E118" s="442">
        <v>0</v>
      </c>
      <c r="F118" s="31" t="str">
        <f>IFERROR(VLOOKUP($C118,[20]Nod!$A$3:$E$992,4,FALSE)," ")</f>
        <v>LSA230</v>
      </c>
      <c r="G118" s="31">
        <f>IFERROR(VLOOKUP($C118,[20]Nod!$A$3:$E$992,5,FALSE)," ")</f>
        <v>5</v>
      </c>
      <c r="K118" s="427"/>
      <c r="L118" s="337"/>
      <c r="M118" s="337"/>
    </row>
    <row r="119" spans="1:13" ht="15" customHeight="1" x14ac:dyDescent="0.25">
      <c r="A119" s="459" t="s">
        <v>363</v>
      </c>
      <c r="C119" s="59">
        <v>6010</v>
      </c>
      <c r="D119" s="441">
        <v>9.9700000000000006</v>
      </c>
      <c r="E119" s="442">
        <v>0</v>
      </c>
      <c r="F119" s="31" t="str">
        <f>IFERROR(VLOOKUP($C119,[20]Nod!$A$3:$E$992,4,FALSE)," ")</f>
        <v>LSA34</v>
      </c>
      <c r="G119" s="31">
        <f>IFERROR(VLOOKUP($C119,[20]Nod!$A$3:$E$992,5,FALSE)," ")</f>
        <v>5</v>
      </c>
      <c r="K119" s="427"/>
      <c r="L119" s="337"/>
      <c r="M119" s="337"/>
    </row>
    <row r="120" spans="1:13" ht="15" customHeight="1" x14ac:dyDescent="0.25">
      <c r="A120" s="459" t="s">
        <v>364</v>
      </c>
      <c r="C120" s="63">
        <v>6010</v>
      </c>
      <c r="D120" s="441">
        <v>9.8800000000000008</v>
      </c>
      <c r="E120" s="50">
        <v>0</v>
      </c>
      <c r="F120" s="31" t="str">
        <f>IFERROR(VLOOKUP($C120,[20]Nod!$A$3:$E$992,4,FALSE)," ")</f>
        <v>LSA34</v>
      </c>
      <c r="G120" s="31">
        <f>IFERROR(VLOOKUP($C120,[20]Nod!$A$3:$E$992,5,FALSE)," ")</f>
        <v>5</v>
      </c>
      <c r="K120" s="427"/>
      <c r="L120" s="337"/>
      <c r="M120" s="337"/>
    </row>
    <row r="121" spans="1:13" ht="15" customHeight="1" x14ac:dyDescent="0.25">
      <c r="A121" s="459" t="s">
        <v>365</v>
      </c>
      <c r="C121" s="63">
        <v>6010</v>
      </c>
      <c r="D121" s="441"/>
      <c r="E121" s="50"/>
      <c r="F121" s="31" t="str">
        <f>IFERROR(VLOOKUP($C121,[20]Nod!$A$3:$E$992,4,FALSE)," ")</f>
        <v>LSA34</v>
      </c>
      <c r="G121" s="31">
        <f>IFERROR(VLOOKUP($C121,[20]Nod!$A$3:$E$992,5,FALSE)," ")</f>
        <v>5</v>
      </c>
      <c r="K121" s="427"/>
      <c r="L121" s="337"/>
      <c r="M121" s="337"/>
    </row>
    <row r="122" spans="1:13" ht="15" customHeight="1" x14ac:dyDescent="0.25">
      <c r="A122" s="459" t="s">
        <v>366</v>
      </c>
      <c r="C122" s="63">
        <v>6010</v>
      </c>
      <c r="D122" s="441">
        <v>7.56</v>
      </c>
      <c r="E122" s="50">
        <v>0</v>
      </c>
      <c r="F122" s="31" t="str">
        <f>IFERROR(VLOOKUP($C122,[20]Nod!$A$3:$E$992,4,FALSE)," ")</f>
        <v>LSA34</v>
      </c>
      <c r="G122" s="31">
        <f>IFERROR(VLOOKUP($C122,[20]Nod!$A$3:$E$992,5,FALSE)," ")</f>
        <v>5</v>
      </c>
      <c r="K122" s="427"/>
      <c r="L122" s="337"/>
      <c r="M122" s="337"/>
    </row>
    <row r="123" spans="1:13" ht="15" customHeight="1" x14ac:dyDescent="0.25">
      <c r="A123" s="459" t="s">
        <v>367</v>
      </c>
      <c r="C123" s="63">
        <v>6010</v>
      </c>
      <c r="D123" s="441">
        <v>9.9</v>
      </c>
      <c r="E123" s="442">
        <v>0</v>
      </c>
      <c r="F123" s="31" t="str">
        <f>IFERROR(VLOOKUP($C123,[20]Nod!$A$3:$E$992,4,FALSE)," ")</f>
        <v>LSA34</v>
      </c>
      <c r="G123" s="31">
        <f>IFERROR(VLOOKUP($C123,[20]Nod!$A$3:$E$992,5,FALSE)," ")</f>
        <v>5</v>
      </c>
      <c r="K123" s="427"/>
      <c r="L123" s="337"/>
      <c r="M123" s="337"/>
    </row>
    <row r="124" spans="1:13" ht="15" customHeight="1" x14ac:dyDescent="0.2">
      <c r="A124" s="459" t="s">
        <v>368</v>
      </c>
      <c r="B124" s="64"/>
      <c r="C124" s="63">
        <v>6010</v>
      </c>
      <c r="D124" s="441">
        <v>9.9499999999999993</v>
      </c>
      <c r="E124" s="442">
        <v>0</v>
      </c>
      <c r="F124" s="31" t="str">
        <f>IFERROR(VLOOKUP($C124,[20]Nod!$A$3:$E$992,4,FALSE)," ")</f>
        <v>LSA34</v>
      </c>
      <c r="G124" s="31">
        <f>IFERROR(VLOOKUP($C124,[20]Nod!$A$3:$E$992,5,FALSE)," ")</f>
        <v>5</v>
      </c>
      <c r="K124" s="427"/>
      <c r="L124" s="337"/>
      <c r="M124" s="337"/>
    </row>
    <row r="125" spans="1:13" ht="15" customHeight="1" x14ac:dyDescent="0.2">
      <c r="A125" s="459" t="s">
        <v>369</v>
      </c>
      <c r="B125" s="64"/>
      <c r="C125" s="63">
        <v>6010</v>
      </c>
      <c r="D125" s="441">
        <v>5.0999999999999996</v>
      </c>
      <c r="E125" s="442"/>
      <c r="F125" s="31" t="str">
        <f>IFERROR(VLOOKUP($C125,[20]Nod!$A$3:$E$992,4,FALSE)," ")</f>
        <v>LSA34</v>
      </c>
      <c r="G125" s="31">
        <f>IFERROR(VLOOKUP($C125,[20]Nod!$A$3:$E$992,5,FALSE)," ")</f>
        <v>5</v>
      </c>
      <c r="K125" s="427"/>
      <c r="L125" s="337"/>
      <c r="M125" s="337"/>
    </row>
    <row r="126" spans="1:13" ht="15" customHeight="1" x14ac:dyDescent="0.2">
      <c r="A126" s="459" t="s">
        <v>370</v>
      </c>
      <c r="B126" s="64"/>
      <c r="C126" s="63">
        <v>6010</v>
      </c>
      <c r="D126" s="441">
        <v>9.99</v>
      </c>
      <c r="E126" s="442"/>
      <c r="F126" s="31" t="str">
        <f>IFERROR(VLOOKUP($C126,[20]Nod!$A$3:$E$992,4,FALSE)," ")</f>
        <v>LSA34</v>
      </c>
      <c r="G126" s="31">
        <f>IFERROR(VLOOKUP($C126,[20]Nod!$A$3:$E$992,5,FALSE)," ")</f>
        <v>5</v>
      </c>
      <c r="K126" s="427"/>
      <c r="L126" s="337"/>
      <c r="M126" s="337"/>
    </row>
    <row r="127" spans="1:13" ht="15" customHeight="1" x14ac:dyDescent="0.2">
      <c r="A127" s="459" t="s">
        <v>371</v>
      </c>
      <c r="B127" s="64"/>
      <c r="C127" s="63">
        <v>6010</v>
      </c>
      <c r="D127" s="441">
        <v>9.9</v>
      </c>
      <c r="E127" s="442"/>
      <c r="F127" s="31" t="str">
        <f>IFERROR(VLOOKUP($C127,[20]Nod!$A$3:$E$992,4,FALSE)," ")</f>
        <v>LSA34</v>
      </c>
      <c r="G127" s="31">
        <f>IFERROR(VLOOKUP($C127,[20]Nod!$A$3:$E$992,5,FALSE)," ")</f>
        <v>5</v>
      </c>
      <c r="K127" s="427"/>
      <c r="L127" s="337"/>
      <c r="M127" s="337"/>
    </row>
    <row r="128" spans="1:13" ht="15" customHeight="1" x14ac:dyDescent="0.2">
      <c r="A128" s="459" t="s">
        <v>372</v>
      </c>
      <c r="B128" s="64"/>
      <c r="C128" s="63">
        <v>6010</v>
      </c>
      <c r="D128" s="441">
        <v>9.9</v>
      </c>
      <c r="E128" s="442"/>
      <c r="F128" s="31" t="str">
        <f>IFERROR(VLOOKUP($C128,[20]Nod!$A$3:$E$992,4,FALSE)," ")</f>
        <v>LSA34</v>
      </c>
      <c r="G128" s="31">
        <f>IFERROR(VLOOKUP($C128,[20]Nod!$A$3:$E$992,5,FALSE)," ")</f>
        <v>5</v>
      </c>
      <c r="K128" s="427"/>
      <c r="L128" s="337"/>
      <c r="M128" s="337"/>
    </row>
    <row r="129" spans="1:13" ht="15" customHeight="1" x14ac:dyDescent="0.2">
      <c r="A129" s="459" t="s">
        <v>373</v>
      </c>
      <c r="B129" s="64"/>
      <c r="C129" s="63">
        <v>6010</v>
      </c>
      <c r="D129" s="441">
        <v>10</v>
      </c>
      <c r="E129" s="442"/>
      <c r="F129" s="31" t="str">
        <f>IFERROR(VLOOKUP($C129,[20]Nod!$A$3:$E$992,4,FALSE)," ")</f>
        <v>LSA34</v>
      </c>
      <c r="G129" s="31">
        <f>IFERROR(VLOOKUP($C129,[20]Nod!$A$3:$E$992,5,FALSE)," ")</f>
        <v>5</v>
      </c>
      <c r="K129" s="427"/>
      <c r="L129" s="337"/>
      <c r="M129" s="337"/>
    </row>
    <row r="130" spans="1:13" ht="15" customHeight="1" x14ac:dyDescent="0.2">
      <c r="A130" s="478" t="s">
        <v>374</v>
      </c>
      <c r="B130" s="64"/>
      <c r="C130" s="63">
        <v>6010</v>
      </c>
      <c r="D130" s="441"/>
      <c r="E130" s="442"/>
      <c r="F130" s="31" t="str">
        <f>IFERROR(VLOOKUP($C130,[20]Nod!$A$3:$E$992,4,FALSE)," ")</f>
        <v>LSA34</v>
      </c>
      <c r="G130" s="31">
        <f>IFERROR(VLOOKUP($C130,[20]Nod!$A$3:$E$992,5,FALSE)," ")</f>
        <v>5</v>
      </c>
      <c r="K130" s="427"/>
      <c r="L130" s="337"/>
      <c r="M130" s="337"/>
    </row>
    <row r="131" spans="1:13" ht="15" customHeight="1" x14ac:dyDescent="0.2">
      <c r="A131" s="479" t="s">
        <v>375</v>
      </c>
      <c r="B131" s="64"/>
      <c r="C131" s="63">
        <v>6010</v>
      </c>
      <c r="D131" s="441"/>
      <c r="E131" s="442"/>
      <c r="F131" s="31" t="str">
        <f>IFERROR(VLOOKUP($C131,[20]Nod!$A$3:$E$992,4,FALSE)," ")</f>
        <v>LSA34</v>
      </c>
      <c r="G131" s="31">
        <f>IFERROR(VLOOKUP($C131,[20]Nod!$A$3:$E$992,5,FALSE)," ")</f>
        <v>5</v>
      </c>
      <c r="K131" s="427"/>
      <c r="L131" s="337"/>
      <c r="M131" s="337"/>
    </row>
    <row r="132" spans="1:13" ht="15" customHeight="1" x14ac:dyDescent="0.2">
      <c r="A132" s="440" t="s">
        <v>376</v>
      </c>
      <c r="B132" s="64"/>
      <c r="C132" s="63">
        <v>6010</v>
      </c>
      <c r="D132" s="441"/>
      <c r="E132" s="41"/>
      <c r="F132" s="31" t="str">
        <f>IFERROR(VLOOKUP($C132,[20]Nod!$A$3:$E$992,4,FALSE)," ")</f>
        <v>LSA34</v>
      </c>
      <c r="G132" s="31">
        <f>IFERROR(VLOOKUP($C132,[20]Nod!$A$3:$E$992,5,FALSE)," ")</f>
        <v>5</v>
      </c>
      <c r="K132" s="427"/>
      <c r="L132" s="337"/>
      <c r="M132" s="337"/>
    </row>
    <row r="133" spans="1:13" ht="15" customHeight="1" x14ac:dyDescent="0.2">
      <c r="A133" s="459" t="s">
        <v>377</v>
      </c>
      <c r="B133" s="64"/>
      <c r="C133" s="63">
        <v>6010</v>
      </c>
      <c r="D133" s="441"/>
      <c r="E133" s="41"/>
      <c r="F133" s="31" t="str">
        <f>IFERROR(VLOOKUP($C133,[20]Nod!$A$3:$E$992,4,FALSE)," ")</f>
        <v>LSA34</v>
      </c>
      <c r="G133" s="31">
        <f>IFERROR(VLOOKUP($C133,[20]Nod!$A$3:$E$992,5,FALSE)," ")</f>
        <v>5</v>
      </c>
      <c r="K133" s="427"/>
      <c r="L133" s="337"/>
      <c r="M133" s="337"/>
    </row>
    <row r="134" spans="1:13" ht="15" customHeight="1" x14ac:dyDescent="0.2">
      <c r="A134" s="440" t="s">
        <v>378</v>
      </c>
      <c r="B134" s="64"/>
      <c r="C134" s="63">
        <v>6010</v>
      </c>
      <c r="D134" s="441"/>
      <c r="E134" s="41"/>
      <c r="F134" s="31" t="str">
        <f>IFERROR(VLOOKUP($C134,[20]Nod!$A$3:$E$992,4,FALSE)," ")</f>
        <v>LSA34</v>
      </c>
      <c r="G134" s="31">
        <f>IFERROR(VLOOKUP($C134,[20]Nod!$A$3:$E$992,5,FALSE)," ")</f>
        <v>5</v>
      </c>
      <c r="K134" s="427"/>
      <c r="L134" s="337"/>
      <c r="M134" s="337"/>
    </row>
    <row r="135" spans="1:13" ht="15" customHeight="1" x14ac:dyDescent="0.2">
      <c r="A135" s="440" t="s">
        <v>379</v>
      </c>
      <c r="B135" s="64"/>
      <c r="C135" s="63">
        <v>6010</v>
      </c>
      <c r="D135" s="441"/>
      <c r="E135" s="41"/>
      <c r="F135" s="31" t="str">
        <f>IFERROR(VLOOKUP($C135,[20]Nod!$A$3:$E$992,4,FALSE)," ")</f>
        <v>LSA34</v>
      </c>
      <c r="G135" s="31">
        <f>IFERROR(VLOOKUP($C135,[20]Nod!$A$3:$E$992,5,FALSE)," ")</f>
        <v>5</v>
      </c>
      <c r="K135" s="427"/>
      <c r="L135" s="337"/>
      <c r="M135" s="337"/>
    </row>
    <row r="136" spans="1:13" ht="15" customHeight="1" x14ac:dyDescent="0.2">
      <c r="A136" s="440" t="s">
        <v>380</v>
      </c>
      <c r="B136" s="64"/>
      <c r="C136" s="63">
        <v>6010</v>
      </c>
      <c r="D136" s="441"/>
      <c r="E136" s="41"/>
      <c r="F136" s="31" t="str">
        <f>IFERROR(VLOOKUP($C136,[20]Nod!$A$3:$E$992,4,FALSE)," ")</f>
        <v>LSA34</v>
      </c>
      <c r="G136" s="31">
        <f>IFERROR(VLOOKUP($C136,[20]Nod!$A$3:$E$992,5,FALSE)," ")</f>
        <v>5</v>
      </c>
      <c r="K136" s="427"/>
      <c r="L136" s="337"/>
      <c r="M136" s="337"/>
    </row>
    <row r="137" spans="1:13" ht="15" customHeight="1" x14ac:dyDescent="0.2">
      <c r="A137" s="440" t="s">
        <v>381</v>
      </c>
      <c r="B137" s="64"/>
      <c r="C137" s="63">
        <v>6010</v>
      </c>
      <c r="D137" s="441"/>
      <c r="E137" s="41"/>
      <c r="F137" s="31" t="str">
        <f>IFERROR(VLOOKUP($C137,[20]Nod!$A$3:$E$992,4,FALSE)," ")</f>
        <v>LSA34</v>
      </c>
      <c r="G137" s="31">
        <f>IFERROR(VLOOKUP($C137,[20]Nod!$A$3:$E$992,5,FALSE)," ")</f>
        <v>5</v>
      </c>
      <c r="K137" s="427"/>
      <c r="L137" s="337"/>
      <c r="M137" s="337"/>
    </row>
    <row r="138" spans="1:13" ht="15" customHeight="1" x14ac:dyDescent="0.2">
      <c r="A138" s="440" t="s">
        <v>382</v>
      </c>
      <c r="B138" s="64"/>
      <c r="C138" s="63">
        <v>6010</v>
      </c>
      <c r="D138" s="441"/>
      <c r="E138" s="41"/>
      <c r="F138" s="31" t="str">
        <f>IFERROR(VLOOKUP($C138,[20]Nod!$A$3:$E$992,4,FALSE)," ")</f>
        <v>LSA34</v>
      </c>
      <c r="G138" s="31">
        <f>IFERROR(VLOOKUP($C138,[20]Nod!$A$3:$E$992,5,FALSE)," ")</f>
        <v>5</v>
      </c>
      <c r="K138" s="427"/>
      <c r="L138" s="337"/>
      <c r="M138" s="337"/>
    </row>
    <row r="139" spans="1:13" ht="15" customHeight="1" x14ac:dyDescent="0.2">
      <c r="A139" s="37"/>
      <c r="B139" s="64"/>
      <c r="C139" s="39"/>
      <c r="D139" s="469"/>
      <c r="E139" s="41"/>
      <c r="F139" s="31" t="str">
        <f>IFERROR(VLOOKUP($C139,[20]Nod!$A$3:$E$992,4,FALSE)," ")</f>
        <v xml:space="preserve"> </v>
      </c>
      <c r="G139" s="31" t="str">
        <f>IFERROR(VLOOKUP($C139,[20]Nod!$A$3:$E$992,5,FALSE)," ")</f>
        <v xml:space="preserve"> </v>
      </c>
      <c r="I139" s="427"/>
      <c r="K139" s="427"/>
      <c r="L139" s="337"/>
      <c r="M139" s="337"/>
    </row>
    <row r="140" spans="1:13" ht="15" customHeight="1" x14ac:dyDescent="0.25">
      <c r="A140" s="49">
        <v>6</v>
      </c>
      <c r="B140" s="45"/>
      <c r="C140" s="46"/>
      <c r="D140" s="47">
        <f>SUM(D141:D146)</f>
        <v>147</v>
      </c>
      <c r="E140" s="436"/>
      <c r="F140" s="31" t="str">
        <f>IFERROR(VLOOKUP($C140,[20]Nod!$A$3:$E$992,4,FALSE)," ")</f>
        <v xml:space="preserve"> </v>
      </c>
      <c r="G140" s="31" t="str">
        <f>IFERROR(VLOOKUP($C140,[20]Nod!$A$3:$E$992,5,FALSE)," ")</f>
        <v xml:space="preserve"> </v>
      </c>
      <c r="I140" s="427"/>
      <c r="K140" s="427"/>
      <c r="L140" s="337"/>
      <c r="M140" s="337"/>
    </row>
    <row r="141" spans="1:13" ht="15" customHeight="1" x14ac:dyDescent="0.25">
      <c r="A141" s="37" t="s">
        <v>179</v>
      </c>
      <c r="B141" s="3"/>
      <c r="C141" s="41">
        <v>6005</v>
      </c>
      <c r="D141" s="50">
        <v>147</v>
      </c>
      <c r="E141" s="442">
        <v>0</v>
      </c>
      <c r="F141" s="31" t="str">
        <f>IFERROR(VLOOKUP($C141,[20]Nod!$A$3:$E$992,4,FALSE)," ")</f>
        <v>CHO230</v>
      </c>
      <c r="G141" s="31">
        <f>IFERROR(VLOOKUP($C141,[20]Nod!$A$3:$E$992,5,FALSE)," ")</f>
        <v>6</v>
      </c>
      <c r="L141" s="337"/>
      <c r="M141" s="337"/>
    </row>
    <row r="142" spans="1:13" ht="15" customHeight="1" x14ac:dyDescent="0.25">
      <c r="A142" s="37" t="s">
        <v>383</v>
      </c>
      <c r="B142" s="3"/>
      <c r="C142" s="56">
        <v>6005</v>
      </c>
      <c r="D142" s="480"/>
      <c r="E142" s="442">
        <v>0</v>
      </c>
      <c r="F142" s="31" t="str">
        <f>IFERROR(VLOOKUP($C142,[20]Nod!$A$3:$E$992,4,FALSE)," ")</f>
        <v>CHO230</v>
      </c>
      <c r="G142" s="31">
        <f>IFERROR(VLOOKUP($C142,[20]Nod!$A$3:$E$992,5,FALSE)," ")</f>
        <v>6</v>
      </c>
      <c r="L142" s="337"/>
      <c r="M142" s="337"/>
    </row>
    <row r="143" spans="1:13" ht="15" customHeight="1" x14ac:dyDescent="0.25">
      <c r="A143" s="37" t="s">
        <v>384</v>
      </c>
      <c r="B143" s="3"/>
      <c r="C143" s="56">
        <v>6005</v>
      </c>
      <c r="D143" s="471"/>
      <c r="E143" s="442">
        <v>0</v>
      </c>
      <c r="F143" s="31" t="str">
        <f>IFERROR(VLOOKUP($C143,[20]Nod!$A$3:$E$992,4,FALSE)," ")</f>
        <v>CHO230</v>
      </c>
      <c r="G143" s="31">
        <f>IFERROR(VLOOKUP($C143,[20]Nod!$A$3:$E$992,5,FALSE)," ")</f>
        <v>6</v>
      </c>
      <c r="L143" s="337"/>
      <c r="M143" s="337"/>
    </row>
    <row r="144" spans="1:13" ht="15" customHeight="1" x14ac:dyDescent="0.25">
      <c r="A144" s="37" t="s">
        <v>385</v>
      </c>
      <c r="B144" s="3"/>
      <c r="C144" s="56">
        <v>6005</v>
      </c>
      <c r="D144" s="471"/>
      <c r="E144" s="442">
        <v>0</v>
      </c>
      <c r="F144" s="31" t="str">
        <f>IFERROR(VLOOKUP($C144,[20]Nod!$A$3:$E$992,4,FALSE)," ")</f>
        <v>CHO230</v>
      </c>
      <c r="G144" s="31">
        <f>IFERROR(VLOOKUP($C144,[20]Nod!$A$3:$E$992,5,FALSE)," ")</f>
        <v>6</v>
      </c>
      <c r="L144" s="337"/>
      <c r="M144" s="337"/>
    </row>
    <row r="145" spans="1:13" ht="15" customHeight="1" x14ac:dyDescent="0.25">
      <c r="A145" s="48" t="s">
        <v>386</v>
      </c>
      <c r="B145" s="3"/>
      <c r="C145" s="56">
        <v>6005</v>
      </c>
      <c r="D145" s="471"/>
      <c r="E145" s="442">
        <v>0</v>
      </c>
      <c r="F145" s="31" t="str">
        <f>IFERROR(VLOOKUP($C145,[20]Nod!$A$3:$E$992,4,FALSE)," ")</f>
        <v>CHO230</v>
      </c>
      <c r="G145" s="31">
        <f>IFERROR(VLOOKUP($C145,[20]Nod!$A$3:$E$992,5,FALSE)," ")</f>
        <v>6</v>
      </c>
      <c r="L145" s="337"/>
      <c r="M145" s="337"/>
    </row>
    <row r="146" spans="1:13" ht="15" customHeight="1" x14ac:dyDescent="0.25">
      <c r="A146" s="42" t="s">
        <v>37</v>
      </c>
      <c r="B146" s="3"/>
      <c r="C146" s="41"/>
      <c r="D146" s="41"/>
      <c r="E146" s="442"/>
      <c r="F146" s="31" t="str">
        <f>IFERROR(VLOOKUP($C146,[20]Nod!$A$3:$E$992,4,FALSE)," ")</f>
        <v xml:space="preserve"> </v>
      </c>
      <c r="G146" s="31" t="str">
        <f>IFERROR(VLOOKUP($C146,[20]Nod!$A$3:$E$992,5,FALSE)," ")</f>
        <v xml:space="preserve"> </v>
      </c>
      <c r="L146" s="337"/>
      <c r="M146" s="337"/>
    </row>
    <row r="147" spans="1:13" ht="15" customHeight="1" x14ac:dyDescent="0.25">
      <c r="A147" s="49">
        <v>7</v>
      </c>
      <c r="B147" s="45"/>
      <c r="C147" s="46"/>
      <c r="D147" s="47">
        <f>SUM(D148:D152)</f>
        <v>159.33000000000001</v>
      </c>
      <c r="E147" s="436"/>
      <c r="F147" s="31" t="str">
        <f>IFERROR(VLOOKUP($C147,[20]Nod!$A$3:$E$992,4,FALSE)," ")</f>
        <v xml:space="preserve"> </v>
      </c>
      <c r="G147" s="31" t="str">
        <f>IFERROR(VLOOKUP($C147,[20]Nod!$A$3:$E$992,5,FALSE)," ")</f>
        <v xml:space="preserve"> </v>
      </c>
      <c r="L147" s="337"/>
      <c r="M147" s="337"/>
    </row>
    <row r="148" spans="1:13" ht="15" customHeight="1" x14ac:dyDescent="0.25">
      <c r="A148" s="440" t="s">
        <v>387</v>
      </c>
      <c r="B148" s="3"/>
      <c r="C148" s="41">
        <v>6018</v>
      </c>
      <c r="D148" s="50">
        <v>97.7</v>
      </c>
      <c r="E148" s="442">
        <v>0</v>
      </c>
      <c r="F148" s="31" t="str">
        <f>IFERROR(VLOOKUP($C148,[20]Nod!$A$3:$E$992,4,FALSE)," ")</f>
        <v>CAC115</v>
      </c>
      <c r="G148" s="31">
        <f>IFERROR(VLOOKUP($C148,[20]Nod!$A$3:$E$992,5,FALSE)," ")</f>
        <v>7</v>
      </c>
      <c r="L148" s="337"/>
      <c r="M148" s="337"/>
    </row>
    <row r="149" spans="1:13" ht="15" customHeight="1" x14ac:dyDescent="0.25">
      <c r="A149" s="440" t="s">
        <v>185</v>
      </c>
      <c r="B149" s="3"/>
      <c r="C149" s="41">
        <v>6171</v>
      </c>
      <c r="D149" s="480">
        <v>53.53</v>
      </c>
      <c r="E149" s="442">
        <v>0</v>
      </c>
      <c r="F149" s="31" t="str">
        <f>IFERROR(VLOOKUP($C149,[20]Nod!$A$3:$E$992,4,FALSE)," ")</f>
        <v>PAC230</v>
      </c>
      <c r="G149" s="31">
        <f>IFERROR(VLOOKUP($C149,[20]Nod!$A$3:$E$992,5,FALSE)," ")</f>
        <v>7</v>
      </c>
      <c r="L149" s="337"/>
      <c r="M149" s="337"/>
    </row>
    <row r="150" spans="1:13" ht="15" customHeight="1" x14ac:dyDescent="0.25">
      <c r="A150" s="440" t="s">
        <v>388</v>
      </c>
      <c r="B150" s="3"/>
      <c r="C150" s="41">
        <v>6002</v>
      </c>
      <c r="D150" s="480">
        <v>8.1</v>
      </c>
      <c r="E150" s="442">
        <v>0</v>
      </c>
      <c r="F150" s="31" t="str">
        <f>IFERROR(VLOOKUP($C150,[20]Nod!$A$3:$E$992,4,FALSE)," ")</f>
        <v>PAN115</v>
      </c>
      <c r="G150" s="31">
        <f>IFERROR(VLOOKUP($C150,[20]Nod!$A$3:$E$992,5,FALSE)," ")</f>
        <v>7</v>
      </c>
      <c r="L150" s="337"/>
      <c r="M150" s="337"/>
    </row>
    <row r="151" spans="1:13" ht="15" customHeight="1" x14ac:dyDescent="0.25">
      <c r="A151" s="459" t="s">
        <v>389</v>
      </c>
      <c r="B151" s="3"/>
      <c r="C151" s="41">
        <v>6018</v>
      </c>
      <c r="D151" s="471"/>
      <c r="E151" s="41">
        <v>13</v>
      </c>
      <c r="F151" s="31" t="str">
        <f>IFERROR(VLOOKUP($C151,[20]Nod!$A$3:$E$992,4,FALSE)," ")</f>
        <v>CAC115</v>
      </c>
      <c r="G151" s="31">
        <f>IFERROR(VLOOKUP($C151,[20]Nod!$A$3:$E$992,5,FALSE)," ")</f>
        <v>7</v>
      </c>
      <c r="L151" s="337"/>
      <c r="M151" s="337"/>
    </row>
    <row r="152" spans="1:13" ht="15" customHeight="1" x14ac:dyDescent="0.25">
      <c r="A152" s="459" t="s">
        <v>390</v>
      </c>
      <c r="B152" s="3"/>
      <c r="C152" s="41">
        <v>6171</v>
      </c>
      <c r="D152" s="471"/>
      <c r="E152" s="41">
        <v>13</v>
      </c>
      <c r="F152" s="31" t="str">
        <f>IFERROR(VLOOKUP($C152,[20]Nod!$A$3:$E$992,4,FALSE)," ")</f>
        <v>PAC230</v>
      </c>
      <c r="G152" s="31">
        <f>IFERROR(VLOOKUP($C152,[20]Nod!$A$3:$E$992,5,FALSE)," ")</f>
        <v>7</v>
      </c>
      <c r="L152" s="337"/>
      <c r="M152" s="337"/>
    </row>
    <row r="153" spans="1:13" ht="15" customHeight="1" x14ac:dyDescent="0.25">
      <c r="A153" s="65"/>
      <c r="B153" s="43"/>
      <c r="C153" s="44"/>
      <c r="D153" s="44"/>
      <c r="E153" s="481"/>
      <c r="F153" s="31" t="str">
        <f>IFERROR(VLOOKUP($C153,[20]Nod!$A$3:$E$992,4,FALSE)," ")</f>
        <v xml:space="preserve"> </v>
      </c>
      <c r="G153" s="31" t="str">
        <f>IFERROR(VLOOKUP($C153,[20]Nod!$A$3:$E$992,5,FALSE)," ")</f>
        <v xml:space="preserve"> </v>
      </c>
      <c r="L153" s="337"/>
      <c r="M153" s="337"/>
    </row>
    <row r="154" spans="1:13" ht="15" customHeight="1" x14ac:dyDescent="0.25">
      <c r="A154" s="36">
        <v>8</v>
      </c>
      <c r="B154" s="66"/>
      <c r="C154" s="35"/>
      <c r="D154" s="76">
        <f>SUM(D155:D156)</f>
        <v>260</v>
      </c>
      <c r="E154" s="463"/>
      <c r="F154" s="31" t="str">
        <f>IFERROR(VLOOKUP($C154,[20]Nod!$A$3:$E$992,4,FALSE)," ")</f>
        <v xml:space="preserve"> </v>
      </c>
      <c r="G154" s="31" t="str">
        <f>IFERROR(VLOOKUP($C154,[20]Nod!$A$3:$E$992,5,FALSE)," ")</f>
        <v xml:space="preserve"> </v>
      </c>
      <c r="L154" s="337"/>
      <c r="M154" s="337"/>
    </row>
    <row r="155" spans="1:13" ht="15" customHeight="1" x14ac:dyDescent="0.25">
      <c r="A155" s="53" t="s">
        <v>189</v>
      </c>
      <c r="B155" s="3"/>
      <c r="C155" s="41">
        <v>6100</v>
      </c>
      <c r="D155" s="50">
        <v>260</v>
      </c>
      <c r="E155" s="442">
        <v>0</v>
      </c>
      <c r="F155" s="31" t="str">
        <f>IFERROR(VLOOKUP($C155,[20]Nod!$A$3:$E$992,4,FALSE)," ")</f>
        <v>BAY230</v>
      </c>
      <c r="G155" s="31">
        <f>IFERROR(VLOOKUP($C155,[20]Nod!$A$3:$E$992,5,FALSE)," ")</f>
        <v>8</v>
      </c>
      <c r="L155" s="337"/>
      <c r="M155" s="337"/>
    </row>
    <row r="156" spans="1:13" ht="15" customHeight="1" x14ac:dyDescent="0.25">
      <c r="A156" s="42" t="s">
        <v>37</v>
      </c>
      <c r="B156" s="43"/>
      <c r="C156" s="44"/>
      <c r="D156" s="54"/>
      <c r="E156" s="461"/>
      <c r="F156" s="31" t="str">
        <f>IFERROR(VLOOKUP($C156,[20]Nod!$A$3:$E$992,4,FALSE)," ")</f>
        <v xml:space="preserve"> </v>
      </c>
      <c r="G156" s="31" t="str">
        <f>IFERROR(VLOOKUP($C156,[20]Nod!$A$3:$E$992,5,FALSE)," ")</f>
        <v xml:space="preserve"> </v>
      </c>
      <c r="L156" s="337"/>
      <c r="M156" s="337"/>
    </row>
    <row r="157" spans="1:13" ht="15" customHeight="1" x14ac:dyDescent="0.25">
      <c r="A157" s="49">
        <v>9</v>
      </c>
      <c r="B157" s="67"/>
      <c r="C157" s="68"/>
      <c r="D157" s="76">
        <f>SUM(D158:D164)</f>
        <v>740.25</v>
      </c>
      <c r="E157" s="463"/>
      <c r="F157" s="31" t="str">
        <f>IFERROR(VLOOKUP($C157,[20]Nod!$A$3:$E$992,4,FALSE)," ")</f>
        <v xml:space="preserve"> </v>
      </c>
      <c r="G157" s="31" t="str">
        <f>IFERROR(VLOOKUP($C157,[20]Nod!$A$3:$E$992,5,FALSE)," ")</f>
        <v xml:space="preserve"> </v>
      </c>
      <c r="L157" s="337"/>
      <c r="M157" s="337"/>
    </row>
    <row r="158" spans="1:13" ht="15" customHeight="1" x14ac:dyDescent="0.25">
      <c r="A158" s="37" t="s">
        <v>190</v>
      </c>
      <c r="B158" s="3"/>
      <c r="C158" s="41">
        <v>6059</v>
      </c>
      <c r="D158" s="441">
        <v>68</v>
      </c>
      <c r="E158" s="442">
        <v>0</v>
      </c>
      <c r="F158" s="31" t="str">
        <f>IFERROR(VLOOKUP($C158,[20]Nod!$A$3:$E$992,4,FALSE)," ")</f>
        <v>LM1115</v>
      </c>
      <c r="G158" s="31">
        <f>IFERROR(VLOOKUP($C158,[20]Nod!$A$3:$E$992,5,FALSE)," ")</f>
        <v>9</v>
      </c>
      <c r="L158" s="337"/>
      <c r="M158" s="337"/>
    </row>
    <row r="159" spans="1:13" ht="15" customHeight="1" x14ac:dyDescent="0.25">
      <c r="A159" s="37" t="s">
        <v>191</v>
      </c>
      <c r="B159" s="3"/>
      <c r="C159" s="41">
        <v>6059</v>
      </c>
      <c r="D159" s="441">
        <v>87</v>
      </c>
      <c r="E159" s="442">
        <v>0</v>
      </c>
      <c r="F159" s="31" t="str">
        <f>IFERROR(VLOOKUP($C159,[20]Nod!$A$3:$E$992,4,FALSE)," ")</f>
        <v>LM1115</v>
      </c>
      <c r="G159" s="31">
        <f>IFERROR(VLOOKUP($C159,[20]Nod!$A$3:$E$992,5,FALSE)," ")</f>
        <v>9</v>
      </c>
      <c r="L159" s="337"/>
      <c r="M159" s="337"/>
    </row>
    <row r="160" spans="1:13" ht="15" customHeight="1" x14ac:dyDescent="0.25">
      <c r="A160" s="37" t="s">
        <v>192</v>
      </c>
      <c r="B160" s="3"/>
      <c r="C160" s="41">
        <v>6059</v>
      </c>
      <c r="D160" s="441">
        <v>150</v>
      </c>
      <c r="E160" s="442">
        <v>0</v>
      </c>
      <c r="F160" s="31" t="str">
        <f>IFERROR(VLOOKUP($C160,[20]Nod!$A$3:$E$992,4,FALSE)," ")</f>
        <v>LM1115</v>
      </c>
      <c r="G160" s="31">
        <f>IFERROR(VLOOKUP($C160,[20]Nod!$A$3:$E$992,5,FALSE)," ")</f>
        <v>9</v>
      </c>
      <c r="L160" s="337"/>
      <c r="M160" s="337"/>
    </row>
    <row r="161" spans="1:13" ht="15" customHeight="1" x14ac:dyDescent="0.25">
      <c r="A161" s="60" t="s">
        <v>193</v>
      </c>
      <c r="B161" s="3"/>
      <c r="C161" s="41">
        <v>6173</v>
      </c>
      <c r="D161" s="441">
        <v>381</v>
      </c>
      <c r="E161" s="442">
        <v>0</v>
      </c>
      <c r="F161" s="31" t="str">
        <f>IFERROR(VLOOKUP($C161,[20]Nod!$A$3:$E$992,4,FALSE)," ")</f>
        <v>STR115</v>
      </c>
      <c r="G161" s="31">
        <f>IFERROR(VLOOKUP($C161,[20]Nod!$A$3:$E$992,5,FALSE)," ")</f>
        <v>9</v>
      </c>
      <c r="L161" s="337"/>
      <c r="M161" s="337"/>
    </row>
    <row r="162" spans="1:13" ht="15" customHeight="1" x14ac:dyDescent="0.25">
      <c r="A162" s="60" t="s">
        <v>194</v>
      </c>
      <c r="B162" s="3"/>
      <c r="C162" s="41">
        <v>6173</v>
      </c>
      <c r="D162" s="441">
        <v>5.05</v>
      </c>
      <c r="E162" s="442">
        <v>0</v>
      </c>
      <c r="F162" s="31" t="str">
        <f>IFERROR(VLOOKUP($C162,[20]Nod!$A$3:$E$992,4,FALSE)," ")</f>
        <v>STR115</v>
      </c>
      <c r="G162" s="31">
        <f>IFERROR(VLOOKUP($C162,[20]Nod!$A$3:$E$992,5,FALSE)," ")</f>
        <v>9</v>
      </c>
      <c r="L162" s="337"/>
      <c r="M162" s="337"/>
    </row>
    <row r="163" spans="1:13" ht="15" customHeight="1" x14ac:dyDescent="0.25">
      <c r="A163" s="60" t="s">
        <v>391</v>
      </c>
      <c r="B163" s="3"/>
      <c r="C163" s="41">
        <v>6059</v>
      </c>
      <c r="D163" s="441">
        <v>49.2</v>
      </c>
      <c r="E163" s="442">
        <v>0</v>
      </c>
      <c r="F163" s="31" t="str">
        <f>IFERROR(VLOOKUP($C163,[20]Nod!$A$3:$E$992,4,FALSE)," ")</f>
        <v>LM1115</v>
      </c>
      <c r="G163" s="31">
        <f>IFERROR(VLOOKUP($C163,[20]Nod!$A$3:$E$992,5,FALSE)," ")</f>
        <v>9</v>
      </c>
      <c r="L163" s="337"/>
      <c r="M163" s="337"/>
    </row>
    <row r="164" spans="1:13" ht="15" customHeight="1" x14ac:dyDescent="0.2">
      <c r="A164" s="48" t="s">
        <v>392</v>
      </c>
      <c r="B164" s="3"/>
      <c r="C164" s="41">
        <v>6173</v>
      </c>
      <c r="D164" s="58"/>
      <c r="E164" s="442"/>
      <c r="F164" s="31" t="str">
        <f>IFERROR(VLOOKUP($C164,[20]Nod!$A$3:$E$992,4,FALSE)," ")</f>
        <v>STR115</v>
      </c>
      <c r="G164" s="31">
        <f>IFERROR(VLOOKUP($C164,[20]Nod!$A$3:$E$992,5,FALSE)," ")</f>
        <v>9</v>
      </c>
      <c r="L164" s="337"/>
      <c r="M164" s="337"/>
    </row>
    <row r="165" spans="1:13" ht="15" customHeight="1" x14ac:dyDescent="0.25">
      <c r="A165" s="42" t="s">
        <v>37</v>
      </c>
      <c r="B165" s="3"/>
      <c r="C165" s="41"/>
      <c r="D165" s="41"/>
      <c r="E165" s="442"/>
      <c r="F165" s="31" t="str">
        <f>IFERROR(VLOOKUP($C165,[20]Nod!$A$3:$E$992,4,FALSE)," ")</f>
        <v xml:space="preserve"> </v>
      </c>
      <c r="G165" s="31" t="str">
        <f>IFERROR(VLOOKUP($C165,[20]Nod!$A$3:$E$992,5,FALSE)," ")</f>
        <v xml:space="preserve"> </v>
      </c>
      <c r="L165" s="337"/>
      <c r="M165" s="337"/>
    </row>
    <row r="166" spans="1:13" ht="15" customHeight="1" x14ac:dyDescent="0.25">
      <c r="A166" s="49">
        <v>10</v>
      </c>
      <c r="B166" s="67"/>
      <c r="C166" s="69"/>
      <c r="D166" s="47">
        <f>SUM(D167:D168)</f>
        <v>252.17</v>
      </c>
      <c r="E166" s="436"/>
      <c r="F166" s="31" t="str">
        <f>IFERROR(VLOOKUP($C166,[20]Nod!$A$3:$E$992,4,FALSE)," ")</f>
        <v xml:space="preserve"> </v>
      </c>
      <c r="G166" s="31" t="str">
        <f>IFERROR(VLOOKUP($C166,[20]Nod!$A$3:$E$992,5,FALSE)," ")</f>
        <v xml:space="preserve"> </v>
      </c>
      <c r="L166" s="337"/>
      <c r="M166" s="337"/>
    </row>
    <row r="167" spans="1:13" ht="15" customHeight="1" x14ac:dyDescent="0.25">
      <c r="A167" s="37" t="s">
        <v>197</v>
      </c>
      <c r="B167" s="3"/>
      <c r="C167" s="41">
        <v>6263</v>
      </c>
      <c r="D167" s="50">
        <v>222.17</v>
      </c>
      <c r="E167" s="442">
        <v>0</v>
      </c>
      <c r="F167" s="31" t="str">
        <f>IFERROR(VLOOKUP($C167,[20]Nod!$A$3:$E$992,4,FALSE)," ")</f>
        <v>ESP230</v>
      </c>
      <c r="G167" s="31">
        <f>IFERROR(VLOOKUP($C167,[20]Nod!$A$3:$E$992,5,FALSE)," ")</f>
        <v>10</v>
      </c>
      <c r="L167" s="337"/>
      <c r="M167" s="337"/>
    </row>
    <row r="168" spans="1:13" ht="15" customHeight="1" x14ac:dyDescent="0.25">
      <c r="A168" s="37" t="s">
        <v>198</v>
      </c>
      <c r="B168" s="3"/>
      <c r="C168" s="41">
        <v>6261</v>
      </c>
      <c r="D168" s="50">
        <v>30</v>
      </c>
      <c r="E168" s="442">
        <v>0</v>
      </c>
      <c r="F168" s="31" t="str">
        <f>IFERROR(VLOOKUP($C168,[20]Nod!$A$3:$E$992,4,FALSE)," ")</f>
        <v>CHA115</v>
      </c>
      <c r="G168" s="31">
        <f>IFERROR(VLOOKUP($C168,[20]Nod!$A$3:$E$992,5,FALSE)," ")</f>
        <v>10</v>
      </c>
      <c r="L168" s="337"/>
      <c r="M168" s="337"/>
    </row>
    <row r="169" spans="1:13" ht="15" customHeight="1" x14ac:dyDescent="0.25">
      <c r="A169" s="65" t="s">
        <v>37</v>
      </c>
      <c r="B169" s="43"/>
      <c r="C169" s="44"/>
      <c r="D169" s="54"/>
      <c r="E169" s="461"/>
      <c r="F169" s="3"/>
      <c r="G169" s="3"/>
      <c r="L169" s="337"/>
      <c r="M169" s="337"/>
    </row>
    <row r="170" spans="1:13" ht="15" customHeight="1" x14ac:dyDescent="0.25">
      <c r="F170" s="337"/>
      <c r="G170" s="337"/>
      <c r="L170" s="337"/>
      <c r="M170" s="337"/>
    </row>
    <row r="171" spans="1:13" ht="15" customHeight="1" x14ac:dyDescent="0.25">
      <c r="F171" s="337"/>
      <c r="G171" s="337"/>
      <c r="L171" s="337"/>
      <c r="M171" s="337"/>
    </row>
    <row r="172" spans="1:13" ht="15" customHeight="1" x14ac:dyDescent="0.25">
      <c r="F172" s="337"/>
      <c r="G172" s="337"/>
      <c r="L172" s="337"/>
      <c r="M172" s="337"/>
    </row>
    <row r="173" spans="1:13" ht="15" customHeight="1" x14ac:dyDescent="0.25">
      <c r="F173" s="337"/>
      <c r="G173" s="337"/>
      <c r="L173" s="337"/>
      <c r="M173" s="337"/>
    </row>
    <row r="174" spans="1:13" ht="15" customHeight="1" x14ac:dyDescent="0.25">
      <c r="F174" s="337"/>
      <c r="G174" s="337"/>
      <c r="L174" s="337"/>
      <c r="M174" s="337"/>
    </row>
    <row r="175" spans="1:13" ht="15" customHeight="1" x14ac:dyDescent="0.25">
      <c r="F175" s="337"/>
      <c r="G175" s="337"/>
      <c r="L175" s="337"/>
      <c r="M175" s="337"/>
    </row>
    <row r="176" spans="1:13" ht="15" customHeight="1" x14ac:dyDescent="0.25">
      <c r="F176" s="337"/>
      <c r="G176" s="337"/>
      <c r="L176" s="337"/>
      <c r="M176" s="337"/>
    </row>
    <row r="177" spans="6:13" ht="15" customHeight="1" x14ac:dyDescent="0.25">
      <c r="F177" s="337"/>
      <c r="G177" s="337"/>
      <c r="L177" s="337"/>
      <c r="M177" s="337"/>
    </row>
    <row r="178" spans="6:13" ht="15" customHeight="1" x14ac:dyDescent="0.25">
      <c r="F178" s="337"/>
      <c r="G178" s="337"/>
      <c r="L178" s="337"/>
      <c r="M178" s="337"/>
    </row>
    <row r="179" spans="6:13" ht="15" customHeight="1" x14ac:dyDescent="0.25">
      <c r="F179" s="337"/>
      <c r="G179" s="337"/>
      <c r="L179" s="337"/>
      <c r="M179" s="337"/>
    </row>
    <row r="180" spans="6:13" ht="15" customHeight="1" x14ac:dyDescent="0.25">
      <c r="F180" s="337"/>
      <c r="G180" s="337"/>
      <c r="L180" s="337"/>
      <c r="M180" s="337"/>
    </row>
    <row r="181" spans="6:13" ht="15" customHeight="1" x14ac:dyDescent="0.25">
      <c r="F181" s="337"/>
      <c r="G181" s="337"/>
      <c r="L181" s="337"/>
      <c r="M181" s="337"/>
    </row>
    <row r="182" spans="6:13" ht="15" customHeight="1" x14ac:dyDescent="0.25">
      <c r="F182" s="337"/>
      <c r="G182" s="337"/>
      <c r="L182" s="337"/>
      <c r="M182" s="337"/>
    </row>
    <row r="183" spans="6:13" ht="15" customHeight="1" x14ac:dyDescent="0.25">
      <c r="F183" s="337"/>
      <c r="G183" s="337"/>
      <c r="L183" s="337"/>
      <c r="M183" s="337"/>
    </row>
    <row r="184" spans="6:13" ht="15" customHeight="1" x14ac:dyDescent="0.25">
      <c r="F184" s="337"/>
      <c r="G184" s="337"/>
      <c r="L184" s="337"/>
      <c r="M184" s="337"/>
    </row>
    <row r="185" spans="6:13" ht="15" customHeight="1" x14ac:dyDescent="0.25">
      <c r="F185" s="337"/>
      <c r="G185" s="337"/>
      <c r="L185" s="337"/>
      <c r="M185" s="337"/>
    </row>
    <row r="186" spans="6:13" ht="15" customHeight="1" x14ac:dyDescent="0.25">
      <c r="F186" s="337"/>
      <c r="G186" s="337"/>
      <c r="L186" s="337"/>
      <c r="M186" s="337"/>
    </row>
    <row r="187" spans="6:13" ht="15" customHeight="1" x14ac:dyDescent="0.25">
      <c r="F187" s="337"/>
      <c r="G187" s="337"/>
      <c r="L187" s="337"/>
      <c r="M187" s="337"/>
    </row>
    <row r="188" spans="6:13" ht="15" customHeight="1" x14ac:dyDescent="0.25">
      <c r="F188" s="337"/>
      <c r="G188" s="337"/>
      <c r="L188" s="337"/>
      <c r="M188" s="337"/>
    </row>
    <row r="189" spans="6:13" ht="15" customHeight="1" x14ac:dyDescent="0.25">
      <c r="F189" s="337"/>
      <c r="G189" s="337"/>
      <c r="L189" s="337"/>
      <c r="M189" s="337"/>
    </row>
    <row r="190" spans="6:13" ht="15" customHeight="1" x14ac:dyDescent="0.25">
      <c r="F190" s="337"/>
      <c r="G190" s="337"/>
      <c r="L190" s="337"/>
      <c r="M190" s="337"/>
    </row>
    <row r="191" spans="6:13" ht="15" customHeight="1" x14ac:dyDescent="0.25">
      <c r="F191" s="337"/>
      <c r="G191" s="337"/>
      <c r="L191" s="337"/>
      <c r="M191" s="337"/>
    </row>
    <row r="192" spans="6:13" ht="15" customHeight="1" x14ac:dyDescent="0.25">
      <c r="F192" s="337"/>
      <c r="G192" s="337"/>
      <c r="L192" s="337"/>
      <c r="M192" s="337"/>
    </row>
    <row r="193" spans="6:13" ht="15" customHeight="1" x14ac:dyDescent="0.25">
      <c r="F193" s="337"/>
      <c r="G193" s="337"/>
      <c r="L193" s="337"/>
      <c r="M193" s="337"/>
    </row>
    <row r="194" spans="6:13" ht="15" customHeight="1" x14ac:dyDescent="0.25">
      <c r="F194" s="337"/>
      <c r="G194" s="337"/>
      <c r="L194" s="337"/>
      <c r="M194" s="337"/>
    </row>
    <row r="195" spans="6:13" ht="15" customHeight="1" x14ac:dyDescent="0.25">
      <c r="F195" s="337"/>
      <c r="G195" s="337"/>
      <c r="L195" s="337"/>
      <c r="M195" s="337"/>
    </row>
    <row r="196" spans="6:13" ht="15" customHeight="1" x14ac:dyDescent="0.25">
      <c r="L196" s="337"/>
      <c r="M196" s="337"/>
    </row>
  </sheetData>
  <mergeCells count="1">
    <mergeCell ref="A9:L9"/>
  </mergeCells>
  <conditionalFormatting sqref="B11:L12">
    <cfRule type="cellIs" dxfId="78" priority="24" operator="equal">
      <formula>0</formula>
    </cfRule>
  </conditionalFormatting>
  <conditionalFormatting sqref="D18:D29">
    <cfRule type="cellIs" dxfId="77" priority="8" operator="equal">
      <formula>0</formula>
    </cfRule>
  </conditionalFormatting>
  <conditionalFormatting sqref="D90">
    <cfRule type="cellIs" dxfId="76" priority="2" operator="equal">
      <formula>0</formula>
    </cfRule>
  </conditionalFormatting>
  <conditionalFormatting sqref="D130:D138">
    <cfRule type="cellIs" dxfId="75" priority="1" operator="equal">
      <formula>0</formula>
    </cfRule>
  </conditionalFormatting>
  <conditionalFormatting sqref="D141:D145">
    <cfRule type="cellIs" dxfId="74" priority="5" operator="equal">
      <formula>0</formula>
    </cfRule>
  </conditionalFormatting>
  <conditionalFormatting sqref="D148:D152">
    <cfRule type="cellIs" dxfId="73" priority="4" operator="equal">
      <formula>0</formula>
    </cfRule>
  </conditionalFormatting>
  <conditionalFormatting sqref="D38:E43 D46:E51 E153 E158:E164 D167:E169">
    <cfRule type="cellIs" dxfId="72" priority="20" operator="equal">
      <formula>0</formula>
    </cfRule>
  </conditionalFormatting>
  <conditionalFormatting sqref="D155:E156">
    <cfRule type="cellIs" dxfId="71" priority="14" operator="equal">
      <formula>0</formula>
    </cfRule>
  </conditionalFormatting>
  <conditionalFormatting sqref="E18:E35">
    <cfRule type="cellIs" dxfId="70" priority="3" operator="equal">
      <formula>0</formula>
    </cfRule>
  </conditionalFormatting>
  <conditionalFormatting sqref="E54:E91 E141:E146">
    <cfRule type="cellIs" dxfId="69" priority="19" operator="equal">
      <formula>0</formula>
    </cfRule>
  </conditionalFormatting>
  <conditionalFormatting sqref="E94:E131">
    <cfRule type="cellIs" dxfId="68" priority="13" operator="equal">
      <formula>0</formula>
    </cfRule>
  </conditionalFormatting>
  <conditionalFormatting sqref="E148:E150">
    <cfRule type="cellIs" dxfId="67" priority="17" operator="equal">
      <formula>0</formula>
    </cfRule>
  </conditionalFormatting>
  <conditionalFormatting sqref="K107:K140">
    <cfRule type="cellIs" dxfId="66" priority="25" operator="equal">
      <formula>0</formula>
    </cfRule>
  </conditionalFormatting>
  <conditionalFormatting sqref="M11:M12">
    <cfRule type="cellIs" dxfId="65" priority="22" stopIfTrue="1" operator="notEqual">
      <formula>L11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5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97"/>
  <sheetViews>
    <sheetView topLeftCell="A133" zoomScale="70" zoomScaleNormal="70" workbookViewId="0">
      <selection activeCell="D159" sqref="D159"/>
    </sheetView>
  </sheetViews>
  <sheetFormatPr baseColWidth="10" defaultColWidth="8.7109375" defaultRowHeight="15" customHeight="1" x14ac:dyDescent="0.25"/>
  <cols>
    <col min="1" max="1" width="43.7109375" style="38" customWidth="1"/>
    <col min="2" max="2" width="12.5703125" style="38" customWidth="1"/>
    <col min="3" max="3" width="8.7109375" style="38"/>
    <col min="4" max="4" width="11.42578125" style="38" customWidth="1"/>
    <col min="5" max="5" width="9.42578125" style="38" customWidth="1"/>
    <col min="6" max="6" width="9.7109375" style="38" bestFit="1" customWidth="1"/>
    <col min="7" max="7" width="8.7109375" style="38"/>
    <col min="8" max="8" width="25" style="38" customWidth="1"/>
    <col min="9" max="9" width="9.5703125" style="38" customWidth="1"/>
    <col min="10" max="11" width="8.7109375" style="38"/>
    <col min="12" max="12" width="11.28515625" style="38" bestFit="1" customWidth="1"/>
    <col min="13" max="13" width="12.140625" style="38" customWidth="1"/>
    <col min="14" max="14" width="9.7109375" style="38" customWidth="1"/>
    <col min="15" max="15" width="26.5703125" style="38" bestFit="1" customWidth="1"/>
    <col min="16" max="16" width="29.28515625" style="38" bestFit="1" customWidth="1"/>
    <col min="17" max="26" width="6.7109375" style="38" customWidth="1"/>
    <col min="27" max="16384" width="8.7109375" style="38"/>
  </cols>
  <sheetData>
    <row r="1" spans="1:14" ht="24.95" customHeight="1" x14ac:dyDescent="0.25">
      <c r="A1" s="1" t="s">
        <v>0</v>
      </c>
      <c r="B1" s="1">
        <v>4</v>
      </c>
      <c r="C1" s="2" t="s">
        <v>212</v>
      </c>
      <c r="H1" s="4" t="s">
        <v>2</v>
      </c>
      <c r="I1" s="5"/>
      <c r="J1" s="3"/>
      <c r="K1" s="3"/>
      <c r="L1" s="3"/>
      <c r="M1" s="3"/>
      <c r="N1" s="3"/>
    </row>
    <row r="2" spans="1:14" ht="15" customHeight="1" x14ac:dyDescent="0.25">
      <c r="A2" s="6"/>
      <c r="B2" s="7" t="s">
        <v>3</v>
      </c>
      <c r="C2" s="8"/>
      <c r="D2" s="292" t="s">
        <v>4</v>
      </c>
      <c r="E2" s="293"/>
      <c r="F2" s="294" t="s">
        <v>5</v>
      </c>
      <c r="H2" s="3"/>
      <c r="I2" s="3"/>
      <c r="J2" s="3"/>
      <c r="K2" s="3"/>
      <c r="L2" s="3"/>
      <c r="M2" s="3"/>
      <c r="N2" s="3"/>
    </row>
    <row r="3" spans="1:14" ht="15" customHeight="1" x14ac:dyDescent="0.25">
      <c r="A3" s="9" t="s">
        <v>6</v>
      </c>
      <c r="B3" s="285">
        <v>55907.942517183998</v>
      </c>
      <c r="C3" s="10">
        <f>SUM(C4:C5)</f>
        <v>1</v>
      </c>
      <c r="D3" s="297" t="e">
        <f>SUM(D4:D5)</f>
        <v>#VALUE!</v>
      </c>
      <c r="E3" s="296" t="e">
        <f>D3/$D$3</f>
        <v>#VALUE!</v>
      </c>
      <c r="F3" s="298" t="s">
        <v>7</v>
      </c>
      <c r="H3" s="9" t="s">
        <v>8</v>
      </c>
      <c r="I3" s="11">
        <v>0</v>
      </c>
      <c r="J3" s="12" t="s">
        <v>9</v>
      </c>
      <c r="K3" s="3"/>
      <c r="L3" s="13" t="s">
        <v>10</v>
      </c>
      <c r="M3" s="14">
        <v>0.7</v>
      </c>
      <c r="N3" s="15">
        <f>M3*B3</f>
        <v>39135.559762028795</v>
      </c>
    </row>
    <row r="4" spans="1:14" ht="15" customHeight="1" x14ac:dyDescent="0.25">
      <c r="A4" s="16" t="s">
        <v>11</v>
      </c>
      <c r="B4" s="17">
        <f>C4*B3</f>
        <v>47815.267483859388</v>
      </c>
      <c r="C4" s="18">
        <v>0.85524999366883825</v>
      </c>
      <c r="D4" s="307" t="e">
        <f>SUMIFS([21]Ram!G2:G993,[21]Ram!C2:C993,230,[21]Ram!F2:F993,"S")</f>
        <v>#VALUE!</v>
      </c>
      <c r="E4" s="308" t="e">
        <f>D4/$D$3</f>
        <v>#VALUE!</v>
      </c>
      <c r="F4" s="309" t="e">
        <f>B4/D4</f>
        <v>#VALUE!</v>
      </c>
      <c r="H4" s="3"/>
      <c r="I4" s="3"/>
      <c r="J4" s="3"/>
      <c r="K4" s="3"/>
      <c r="L4" s="13" t="s">
        <v>12</v>
      </c>
      <c r="M4" s="14">
        <v>0.3</v>
      </c>
      <c r="N4" s="15">
        <f>M4*B3</f>
        <v>16772.382755155199</v>
      </c>
    </row>
    <row r="5" spans="1:14" ht="15" customHeight="1" x14ac:dyDescent="0.25">
      <c r="A5" s="19" t="s">
        <v>13</v>
      </c>
      <c r="B5" s="20">
        <f>C5*B3</f>
        <v>8092.6750333246109</v>
      </c>
      <c r="C5" s="21">
        <f>1-C4</f>
        <v>0.14475000633116175</v>
      </c>
      <c r="D5" s="313" t="e">
        <f>SUMIFS([21]Ram!G2:G993,[21]Ram!C2:C993,115,[21]Ram!F2:F993,"S")</f>
        <v>#VALUE!</v>
      </c>
      <c r="E5" s="314" t="e">
        <f>D5/$D$3</f>
        <v>#VALUE!</v>
      </c>
      <c r="F5" s="315" t="e">
        <f>B5/D5</f>
        <v>#VALUE!</v>
      </c>
      <c r="H5" s="3"/>
      <c r="I5" s="3"/>
      <c r="J5" s="3"/>
      <c r="K5" s="3"/>
      <c r="L5" s="3"/>
      <c r="M5" s="3"/>
      <c r="N5" s="3"/>
    </row>
    <row r="6" spans="1:14" ht="15" customHeight="1" x14ac:dyDescent="0.25">
      <c r="A6" s="22"/>
      <c r="B6" s="22"/>
      <c r="C6" s="23"/>
      <c r="E6" s="316"/>
      <c r="H6" s="3"/>
      <c r="I6" s="3"/>
      <c r="J6" s="3"/>
      <c r="K6" s="3"/>
      <c r="L6" s="24" t="s">
        <v>14</v>
      </c>
      <c r="M6" s="25">
        <f>[21]ENERGIA!L17</f>
        <v>0</v>
      </c>
      <c r="N6" s="26" t="s">
        <v>15</v>
      </c>
    </row>
    <row r="7" spans="1:14" ht="15" customHeight="1" x14ac:dyDescent="0.25">
      <c r="A7" s="27" t="s">
        <v>16</v>
      </c>
      <c r="B7" s="285">
        <v>35753.442279735209</v>
      </c>
      <c r="C7" s="10">
        <v>1</v>
      </c>
      <c r="D7" s="320" t="e">
        <f>SUMIF([21]Ram!F3:F993,"SD",[21]Ram!G3:G993)</f>
        <v>#VALUE!</v>
      </c>
      <c r="E7" s="296">
        <v>1</v>
      </c>
      <c r="F7" s="321" t="e">
        <f>IF(B7&gt;0,B7/D7,0)</f>
        <v>#VALUE!</v>
      </c>
      <c r="G7" s="38" t="s">
        <v>295</v>
      </c>
      <c r="H7" s="9" t="s">
        <v>17</v>
      </c>
      <c r="I7" s="11">
        <v>0</v>
      </c>
      <c r="J7" s="12" t="s">
        <v>9</v>
      </c>
      <c r="K7" s="3"/>
      <c r="L7" s="28" t="s">
        <v>18</v>
      </c>
      <c r="M7" s="29">
        <f>[21]ENERGIA!L2</f>
        <v>0</v>
      </c>
      <c r="N7" s="30" t="s">
        <v>15</v>
      </c>
    </row>
    <row r="9" spans="1:14" ht="15" customHeight="1" x14ac:dyDescent="0.25">
      <c r="A9" s="496" t="s">
        <v>19</v>
      </c>
      <c r="B9" s="496"/>
      <c r="C9" s="496"/>
      <c r="D9" s="496"/>
      <c r="E9" s="496"/>
      <c r="F9" s="496"/>
      <c r="G9" s="496"/>
      <c r="H9" s="496"/>
      <c r="I9" s="496"/>
      <c r="J9" s="496"/>
      <c r="K9" s="496"/>
      <c r="L9" s="496"/>
    </row>
    <row r="10" spans="1:14" ht="15" customHeight="1" x14ac:dyDescent="0.25">
      <c r="A10" s="325" t="s">
        <v>20</v>
      </c>
      <c r="B10" s="326">
        <v>1</v>
      </c>
      <c r="C10" s="327">
        <v>2</v>
      </c>
      <c r="D10" s="327">
        <v>3</v>
      </c>
      <c r="E10" s="327">
        <v>4</v>
      </c>
      <c r="F10" s="327">
        <v>5</v>
      </c>
      <c r="G10" s="327">
        <v>6</v>
      </c>
      <c r="H10" s="327">
        <v>7</v>
      </c>
      <c r="I10" s="327">
        <v>8</v>
      </c>
      <c r="J10" s="327">
        <v>9</v>
      </c>
      <c r="K10" s="328">
        <v>10</v>
      </c>
      <c r="L10" s="329" t="s">
        <v>21</v>
      </c>
    </row>
    <row r="11" spans="1:14" ht="15" customHeight="1" x14ac:dyDescent="0.25">
      <c r="A11" s="330" t="s">
        <v>22</v>
      </c>
      <c r="B11" s="331">
        <f t="shared" ref="B11:K11" si="0">SUMIF($G$17:$G$995,B$10,$D$17:$D$995)</f>
        <v>360.07000000000005</v>
      </c>
      <c r="C11" s="331">
        <f t="shared" si="0"/>
        <v>548.69000000000005</v>
      </c>
      <c r="D11" s="331">
        <f t="shared" si="0"/>
        <v>154.74</v>
      </c>
      <c r="E11" s="331">
        <f t="shared" si="0"/>
        <v>490.43</v>
      </c>
      <c r="F11" s="331">
        <f t="shared" si="0"/>
        <v>823.48862099999985</v>
      </c>
      <c r="G11" s="331">
        <f t="shared" si="0"/>
        <v>147</v>
      </c>
      <c r="H11" s="331">
        <f t="shared" si="0"/>
        <v>159.33000000000001</v>
      </c>
      <c r="I11" s="331">
        <f t="shared" si="0"/>
        <v>260</v>
      </c>
      <c r="J11" s="331">
        <f t="shared" si="0"/>
        <v>1410.25</v>
      </c>
      <c r="K11" s="331">
        <f t="shared" si="0"/>
        <v>252.17</v>
      </c>
      <c r="L11" s="332">
        <f>SUM(B11:K11)</f>
        <v>4606.1686209999998</v>
      </c>
      <c r="M11" s="415">
        <f>SUM(D17,D37,D45,D53,D93,D140,D147,D154,D157,D166)</f>
        <v>4606.1686209999998</v>
      </c>
    </row>
    <row r="12" spans="1:14" ht="15" customHeight="1" x14ac:dyDescent="0.25">
      <c r="A12" s="334" t="s">
        <v>23</v>
      </c>
      <c r="B12" s="335">
        <f t="shared" ref="B12:K12" si="1">SUMIF($M$18:$M$997,B$10,$K$18:$K$997)</f>
        <v>20.759254642276581</v>
      </c>
      <c r="C12" s="335">
        <f t="shared" si="1"/>
        <v>0</v>
      </c>
      <c r="D12" s="335">
        <f t="shared" si="1"/>
        <v>9.5354088196838716E-2</v>
      </c>
      <c r="E12" s="335">
        <f t="shared" si="1"/>
        <v>122.79517221171982</v>
      </c>
      <c r="F12" s="335">
        <f t="shared" si="1"/>
        <v>421.80727667034165</v>
      </c>
      <c r="G12" s="335">
        <f t="shared" si="1"/>
        <v>203.54055121538289</v>
      </c>
      <c r="H12" s="335">
        <f t="shared" si="1"/>
        <v>1166.4340438628744</v>
      </c>
      <c r="I12" s="335">
        <f t="shared" si="1"/>
        <v>1.35</v>
      </c>
      <c r="J12" s="335">
        <f t="shared" si="1"/>
        <v>157.13</v>
      </c>
      <c r="K12" s="335">
        <f t="shared" si="1"/>
        <v>74.984500153045872</v>
      </c>
      <c r="L12" s="336">
        <f>SUM(B12:K12)</f>
        <v>2168.8961528438376</v>
      </c>
      <c r="M12" s="333">
        <f>SUM(K17,K22,K24,K28,K35,K45,K52,K71,K75,K83)</f>
        <v>2168.8961528438376</v>
      </c>
    </row>
    <row r="13" spans="1:14" ht="15" customHeight="1" x14ac:dyDescent="0.25">
      <c r="M13" s="337"/>
    </row>
    <row r="15" spans="1:14" ht="15" customHeight="1" x14ac:dyDescent="0.25">
      <c r="A15" s="416" t="s">
        <v>24</v>
      </c>
      <c r="B15" s="417"/>
      <c r="C15" s="417"/>
      <c r="D15" s="417"/>
      <c r="E15" s="417"/>
      <c r="F15" s="417"/>
      <c r="G15" s="418"/>
      <c r="H15" s="416" t="s">
        <v>25</v>
      </c>
      <c r="I15" s="417"/>
      <c r="J15" s="417"/>
      <c r="K15" s="417"/>
      <c r="L15" s="417"/>
      <c r="M15" s="417"/>
    </row>
    <row r="16" spans="1:14" ht="25.5" x14ac:dyDescent="0.25">
      <c r="A16" s="419" t="s">
        <v>26</v>
      </c>
      <c r="B16" s="420"/>
      <c r="C16" s="421" t="s">
        <v>27</v>
      </c>
      <c r="D16" s="32" t="s">
        <v>22</v>
      </c>
      <c r="E16" s="32" t="s">
        <v>28</v>
      </c>
      <c r="F16" s="354"/>
      <c r="G16" s="354"/>
      <c r="H16" s="422" t="s">
        <v>26</v>
      </c>
      <c r="I16" s="423"/>
      <c r="J16" s="424" t="s">
        <v>27</v>
      </c>
      <c r="K16" s="425" t="s">
        <v>23</v>
      </c>
      <c r="L16" s="354"/>
      <c r="M16" s="354"/>
    </row>
    <row r="17" spans="1:13" ht="15" customHeight="1" x14ac:dyDescent="0.25">
      <c r="A17" s="33">
        <v>1</v>
      </c>
      <c r="B17" s="34"/>
      <c r="C17" s="46"/>
      <c r="D17" s="47">
        <f>SUM(D18:D35)</f>
        <v>360.07000000000005</v>
      </c>
      <c r="E17" s="436"/>
      <c r="F17" s="31"/>
      <c r="G17" s="31"/>
      <c r="H17" s="437">
        <v>1</v>
      </c>
      <c r="I17" s="438"/>
      <c r="J17" s="485"/>
      <c r="K17" s="439">
        <f>SUM(K18:K21)</f>
        <v>20.759254642276581</v>
      </c>
      <c r="L17" s="337"/>
      <c r="M17" s="337"/>
    </row>
    <row r="18" spans="1:13" ht="15" customHeight="1" x14ac:dyDescent="0.25">
      <c r="A18" s="440" t="s">
        <v>30</v>
      </c>
      <c r="C18" s="39">
        <v>6014</v>
      </c>
      <c r="D18" s="441">
        <v>87.6</v>
      </c>
      <c r="E18" s="442">
        <v>0</v>
      </c>
      <c r="F18" s="31" t="str">
        <f>IFERROR(VLOOKUP($C18,[20]Nod!$A$3:$E$992,4,FALSE)," ")</f>
        <v>PRO230</v>
      </c>
      <c r="G18" s="31">
        <f>IFERROR(VLOOKUP($C18,[20]Nod!$A$3:$E$992,5,FALSE)," ")</f>
        <v>1</v>
      </c>
      <c r="H18" s="429" t="s">
        <v>31</v>
      </c>
      <c r="I18" s="79"/>
      <c r="J18" s="90"/>
      <c r="K18" s="90"/>
      <c r="L18" s="337"/>
      <c r="M18" s="337"/>
    </row>
    <row r="19" spans="1:13" ht="15" customHeight="1" x14ac:dyDescent="0.25">
      <c r="A19" s="440" t="s">
        <v>32</v>
      </c>
      <c r="C19" s="39">
        <v>6014</v>
      </c>
      <c r="D19" s="441">
        <v>57.4</v>
      </c>
      <c r="E19" s="442">
        <v>0</v>
      </c>
      <c r="F19" s="31" t="str">
        <f>IFERROR(VLOOKUP($C19,[20]Nod!$A$3:$E$992,4,FALSE)," ")</f>
        <v>PRO230</v>
      </c>
      <c r="G19" s="31">
        <f>IFERROR(VLOOKUP($C19,[20]Nod!$A$3:$E$992,5,FALSE)," ")</f>
        <v>1</v>
      </c>
      <c r="H19" s="95" t="s">
        <v>33</v>
      </c>
      <c r="I19" s="79"/>
      <c r="J19" s="90">
        <v>6014</v>
      </c>
      <c r="K19" s="75">
        <v>17.21</v>
      </c>
      <c r="L19" s="337" t="str">
        <f>VLOOKUP($J19,[21]Nod!$A$3:$E$991,4,FALSE)</f>
        <v>PRO230</v>
      </c>
      <c r="M19" s="337">
        <f>VLOOKUP($J19,[21]Nod!$A$3:$E$991,5,FALSE)</f>
        <v>1</v>
      </c>
    </row>
    <row r="20" spans="1:13" ht="15" customHeight="1" x14ac:dyDescent="0.25">
      <c r="A20" s="440" t="s">
        <v>34</v>
      </c>
      <c r="C20" s="39">
        <v>6014</v>
      </c>
      <c r="D20" s="441">
        <v>30</v>
      </c>
      <c r="E20" s="442">
        <v>0</v>
      </c>
      <c r="F20" s="31" t="str">
        <f>IFERROR(VLOOKUP($C20,[20]Nod!$A$3:$E$992,4,FALSE)," ")</f>
        <v>PRO230</v>
      </c>
      <c r="G20" s="31">
        <f>IFERROR(VLOOKUP($C20,[20]Nod!$A$3:$E$992,5,FALSE)," ")</f>
        <v>1</v>
      </c>
      <c r="H20" s="95" t="s">
        <v>35</v>
      </c>
      <c r="I20" s="79"/>
      <c r="J20" s="90">
        <v>6014</v>
      </c>
      <c r="K20" s="75">
        <v>3.5492546422765785</v>
      </c>
      <c r="L20" s="337" t="str">
        <f>VLOOKUP($J20,[21]Nod!$A$3:$E$991,4,FALSE)</f>
        <v>PRO230</v>
      </c>
      <c r="M20" s="337">
        <f>VLOOKUP($J20,[21]Nod!$A$3:$E$991,5,FALSE)</f>
        <v>1</v>
      </c>
    </row>
    <row r="21" spans="1:13" ht="15" customHeight="1" x14ac:dyDescent="0.25">
      <c r="A21" s="440" t="s">
        <v>36</v>
      </c>
      <c r="C21" s="39">
        <v>6014</v>
      </c>
      <c r="D21" s="441">
        <v>27.9</v>
      </c>
      <c r="E21" s="442">
        <v>0</v>
      </c>
      <c r="F21" s="31" t="str">
        <f>IFERROR(VLOOKUP($C21,[20]Nod!$A$3:$E$992,4,FALSE)," ")</f>
        <v>PRO230</v>
      </c>
      <c r="G21" s="31">
        <f>IFERROR(VLOOKUP($C21,[20]Nod!$A$3:$E$992,5,FALSE)," ")</f>
        <v>1</v>
      </c>
      <c r="H21" s="443" t="s">
        <v>37</v>
      </c>
      <c r="I21" s="444"/>
      <c r="J21" s="446"/>
      <c r="K21" s="446"/>
      <c r="L21" s="337"/>
      <c r="M21" s="337"/>
    </row>
    <row r="22" spans="1:13" ht="15" customHeight="1" x14ac:dyDescent="0.25">
      <c r="A22" s="440" t="s">
        <v>301</v>
      </c>
      <c r="C22" s="39">
        <v>6014</v>
      </c>
      <c r="D22" s="441">
        <v>25.9</v>
      </c>
      <c r="E22" s="442">
        <v>0</v>
      </c>
      <c r="F22" s="31" t="str">
        <f>IFERROR(VLOOKUP($C22,[20]Nod!$A$3:$E$992,4,FALSE)," ")</f>
        <v>PRO230</v>
      </c>
      <c r="G22" s="31">
        <f>IFERROR(VLOOKUP($C22,[20]Nod!$A$3:$E$992,5,FALSE)," ")</f>
        <v>1</v>
      </c>
      <c r="H22" s="447">
        <v>2</v>
      </c>
      <c r="I22" s="438"/>
      <c r="J22" s="485"/>
      <c r="K22" s="439">
        <f>+K23</f>
        <v>0</v>
      </c>
      <c r="L22" s="337"/>
      <c r="M22" s="337"/>
    </row>
    <row r="23" spans="1:13" ht="15" customHeight="1" x14ac:dyDescent="0.25">
      <c r="A23" s="440" t="s">
        <v>302</v>
      </c>
      <c r="C23" s="39">
        <v>6014</v>
      </c>
      <c r="D23" s="441">
        <v>25.9</v>
      </c>
      <c r="E23" s="442">
        <v>0</v>
      </c>
      <c r="F23" s="31" t="str">
        <f>IFERROR(VLOOKUP($C23,[20]Nod!$A$3:$E$992,4,FALSE)," ")</f>
        <v>PRO230</v>
      </c>
      <c r="G23" s="31">
        <f>IFERROR(VLOOKUP($C23,[20]Nod!$A$3:$E$992,5,FALSE)," ")</f>
        <v>1</v>
      </c>
      <c r="H23" s="443" t="s">
        <v>37</v>
      </c>
      <c r="I23" s="444"/>
      <c r="J23" s="446"/>
      <c r="K23" s="446"/>
      <c r="L23" s="337"/>
      <c r="M23" s="337"/>
    </row>
    <row r="24" spans="1:13" ht="15" customHeight="1" x14ac:dyDescent="0.25">
      <c r="A24" s="440" t="s">
        <v>38</v>
      </c>
      <c r="C24" s="39">
        <v>6014</v>
      </c>
      <c r="D24" s="441">
        <v>10</v>
      </c>
      <c r="E24" s="442">
        <v>0</v>
      </c>
      <c r="F24" s="31" t="str">
        <f>IFERROR(VLOOKUP($C24,[20]Nod!$A$3:$E$992,4,FALSE)," ")</f>
        <v>PRO230</v>
      </c>
      <c r="G24" s="31">
        <f>IFERROR(VLOOKUP($C24,[20]Nod!$A$3:$E$992,5,FALSE)," ")</f>
        <v>1</v>
      </c>
      <c r="H24" s="437">
        <v>3</v>
      </c>
      <c r="I24" s="438"/>
      <c r="J24" s="485"/>
      <c r="K24" s="439">
        <f>+K26</f>
        <v>9.5354088196838716E-2</v>
      </c>
      <c r="L24" s="337"/>
      <c r="M24" s="337"/>
    </row>
    <row r="25" spans="1:13" ht="15" customHeight="1" x14ac:dyDescent="0.25">
      <c r="A25" s="440" t="s">
        <v>303</v>
      </c>
      <c r="C25" s="39">
        <v>6014</v>
      </c>
      <c r="D25" s="441">
        <v>9.99</v>
      </c>
      <c r="E25" s="442">
        <v>0</v>
      </c>
      <c r="F25" s="31" t="str">
        <f>IFERROR(VLOOKUP($C25,[20]Nod!$A$3:$E$992,4,FALSE)," ")</f>
        <v>PRO230</v>
      </c>
      <c r="G25" s="31">
        <f>IFERROR(VLOOKUP($C25,[20]Nod!$A$3:$E$992,5,FALSE)," ")</f>
        <v>1</v>
      </c>
      <c r="H25" s="429" t="s">
        <v>31</v>
      </c>
      <c r="I25" s="79"/>
      <c r="J25" s="90"/>
      <c r="K25" s="90"/>
      <c r="L25" s="337"/>
      <c r="M25" s="337"/>
    </row>
    <row r="26" spans="1:13" ht="15" customHeight="1" x14ac:dyDescent="0.25">
      <c r="A26" s="440" t="s">
        <v>304</v>
      </c>
      <c r="C26" s="39">
        <v>6014</v>
      </c>
      <c r="D26" s="441">
        <v>5.5</v>
      </c>
      <c r="E26" s="442">
        <v>0</v>
      </c>
      <c r="F26" s="31" t="str">
        <f>IFERROR(VLOOKUP($C26,[20]Nod!$A$3:$E$992,4,FALSE)," ")</f>
        <v>PRO230</v>
      </c>
      <c r="G26" s="31">
        <f>IFERROR(VLOOKUP($C26,[20]Nod!$A$3:$E$992,5,FALSE)," ")</f>
        <v>1</v>
      </c>
      <c r="H26" s="95" t="s">
        <v>43</v>
      </c>
      <c r="I26" s="79"/>
      <c r="J26" s="90">
        <v>6087</v>
      </c>
      <c r="K26" s="75">
        <v>9.5354088196838716E-2</v>
      </c>
      <c r="L26" s="337" t="str">
        <f>VLOOKUP($J26,[21]Nod!$A$3:$E$991,4,FALSE)</f>
        <v>CAL115</v>
      </c>
      <c r="M26" s="337">
        <f>VLOOKUP($J26,[21]Nod!$A$3:$E$991,5,FALSE)</f>
        <v>3</v>
      </c>
    </row>
    <row r="27" spans="1:13" ht="15" customHeight="1" x14ac:dyDescent="0.25">
      <c r="A27" s="440" t="s">
        <v>305</v>
      </c>
      <c r="C27" s="39">
        <v>6014</v>
      </c>
      <c r="D27" s="441">
        <v>10</v>
      </c>
      <c r="E27" s="442">
        <v>0</v>
      </c>
      <c r="F27" s="31" t="str">
        <f>IFERROR(VLOOKUP($C27,[20]Nod!$A$3:$E$992,4,FALSE)," ")</f>
        <v>PRO230</v>
      </c>
      <c r="G27" s="31">
        <f>IFERROR(VLOOKUP($C27,[20]Nod!$A$3:$E$992,5,FALSE)," ")</f>
        <v>1</v>
      </c>
      <c r="H27" s="443" t="s">
        <v>37</v>
      </c>
      <c r="I27" s="444"/>
      <c r="J27" s="446"/>
      <c r="K27" s="446"/>
      <c r="L27" s="337"/>
      <c r="M27" s="337"/>
    </row>
    <row r="28" spans="1:13" ht="15" customHeight="1" x14ac:dyDescent="0.25">
      <c r="A28" s="440" t="s">
        <v>306</v>
      </c>
      <c r="C28" s="39">
        <v>6014</v>
      </c>
      <c r="D28" s="441">
        <v>10</v>
      </c>
      <c r="E28" s="442">
        <v>0</v>
      </c>
      <c r="F28" s="31" t="str">
        <f>IFERROR(VLOOKUP($C28,[20]Nod!$A$3:$E$992,4,FALSE)," ")</f>
        <v>PRO230</v>
      </c>
      <c r="G28" s="31">
        <f>IFERROR(VLOOKUP($C28,[20]Nod!$A$3:$E$992,5,FALSE)," ")</f>
        <v>1</v>
      </c>
      <c r="H28" s="437">
        <v>4</v>
      </c>
      <c r="I28" s="438"/>
      <c r="J28" s="485"/>
      <c r="K28" s="439">
        <f>SUM(K29:K34)</f>
        <v>122.79517221171982</v>
      </c>
      <c r="L28" s="337"/>
      <c r="M28" s="337"/>
    </row>
    <row r="29" spans="1:13" ht="15" customHeight="1" x14ac:dyDescent="0.25">
      <c r="A29" s="448" t="s">
        <v>307</v>
      </c>
      <c r="C29" s="39">
        <v>6014</v>
      </c>
      <c r="D29" s="449">
        <v>19.88</v>
      </c>
      <c r="E29" s="442">
        <v>0</v>
      </c>
      <c r="F29" s="31" t="str">
        <f>IFERROR(VLOOKUP($C29,[20]Nod!$A$3:$E$992,4,FALSE)," ")</f>
        <v>PRO230</v>
      </c>
      <c r="G29" s="31">
        <f>IFERROR(VLOOKUP($C29,[20]Nod!$A$3:$E$992,5,FALSE)," ")</f>
        <v>1</v>
      </c>
      <c r="H29" s="429" t="s">
        <v>31</v>
      </c>
      <c r="I29" s="79"/>
      <c r="J29" s="90"/>
      <c r="K29" s="90"/>
      <c r="L29" s="337"/>
      <c r="M29" s="337"/>
    </row>
    <row r="30" spans="1:13" ht="15" customHeight="1" x14ac:dyDescent="0.25">
      <c r="A30" s="440" t="s">
        <v>308</v>
      </c>
      <c r="C30" s="39">
        <v>6014</v>
      </c>
      <c r="D30" s="441">
        <v>10</v>
      </c>
      <c r="E30" s="442">
        <v>7</v>
      </c>
      <c r="F30" s="31" t="str">
        <f>IFERROR(VLOOKUP($C30,[20]Nod!$A$3:$E$992,4,FALSE)," ")</f>
        <v>PRO230</v>
      </c>
      <c r="G30" s="31">
        <f>IFERROR(VLOOKUP($C30,[20]Nod!$A$3:$E$992,5,FALSE)," ")</f>
        <v>1</v>
      </c>
      <c r="H30" s="95" t="s">
        <v>204</v>
      </c>
      <c r="I30" s="79"/>
      <c r="J30" s="90">
        <v>6013</v>
      </c>
      <c r="K30" s="75">
        <v>18.132813901986673</v>
      </c>
      <c r="L30" s="337" t="str">
        <f>VLOOKUP($J30,[21]Nod!$A$3:$E$991,4,FALSE)</f>
        <v>MDN34</v>
      </c>
      <c r="M30" s="337">
        <f>VLOOKUP($J30,[21]Nod!$A$3:$E$991,5,FALSE)</f>
        <v>4</v>
      </c>
    </row>
    <row r="31" spans="1:13" ht="15" customHeight="1" x14ac:dyDescent="0.25">
      <c r="A31" s="440" t="s">
        <v>309</v>
      </c>
      <c r="C31" s="39">
        <v>6014</v>
      </c>
      <c r="D31" s="441">
        <v>10</v>
      </c>
      <c r="E31" s="442">
        <v>7</v>
      </c>
      <c r="F31" s="31" t="str">
        <f>IFERROR(VLOOKUP($C31,[20]Nod!$A$3:$E$992,4,FALSE)," ")</f>
        <v>PRO230</v>
      </c>
      <c r="G31" s="31">
        <f>IFERROR(VLOOKUP($C31,[20]Nod!$A$3:$E$992,5,FALSE)," ")</f>
        <v>1</v>
      </c>
      <c r="H31" s="95" t="s">
        <v>203</v>
      </c>
      <c r="I31" s="79"/>
      <c r="J31" s="90">
        <v>6013</v>
      </c>
      <c r="K31" s="75">
        <v>83.59</v>
      </c>
      <c r="L31" s="337" t="str">
        <f>VLOOKUP($J31,[21]Nod!$A$3:$E$991,4,FALSE)</f>
        <v>MDN34</v>
      </c>
      <c r="M31" s="337">
        <f>VLOOKUP($J31,[21]Nod!$A$3:$E$991,5,FALSE)</f>
        <v>4</v>
      </c>
    </row>
    <row r="32" spans="1:13" ht="15" customHeight="1" x14ac:dyDescent="0.25">
      <c r="A32" s="440" t="s">
        <v>310</v>
      </c>
      <c r="C32" s="39">
        <v>6014</v>
      </c>
      <c r="D32" s="441">
        <v>10</v>
      </c>
      <c r="E32" s="442">
        <v>7</v>
      </c>
      <c r="F32" s="31" t="str">
        <f>IFERROR(VLOOKUP($C32,[20]Nod!$A$3:$E$992,4,FALSE)," ")</f>
        <v>PRO230</v>
      </c>
      <c r="G32" s="31">
        <f>IFERROR(VLOOKUP($C32,[20]Nod!$A$3:$E$992,5,FALSE)," ")</f>
        <v>1</v>
      </c>
      <c r="H32" s="72" t="s">
        <v>205</v>
      </c>
      <c r="I32" s="79"/>
      <c r="J32" s="487">
        <v>6380</v>
      </c>
      <c r="K32" s="75">
        <v>15.341844854157332</v>
      </c>
      <c r="L32" s="337" t="str">
        <f>VLOOKUP($J32,[21]Nod!$A$3:$E$991,4,FALSE)</f>
        <v>BOQIII230</v>
      </c>
      <c r="M32" s="337">
        <f>VLOOKUP($J32,[21]Nod!$A$3:$E$991,5,FALSE)</f>
        <v>4</v>
      </c>
    </row>
    <row r="33" spans="1:13" ht="15" customHeight="1" x14ac:dyDescent="0.25">
      <c r="A33" s="440" t="s">
        <v>311</v>
      </c>
      <c r="C33" s="39">
        <v>6014</v>
      </c>
      <c r="D33" s="441">
        <v>10</v>
      </c>
      <c r="E33" s="442">
        <v>7</v>
      </c>
      <c r="F33" s="31" t="str">
        <f>IFERROR(VLOOKUP($C33,[20]Nod!$A$3:$E$992,4,FALSE)," ")</f>
        <v>PRO230</v>
      </c>
      <c r="G33" s="31">
        <f>IFERROR(VLOOKUP($C33,[20]Nod!$A$3:$E$992,5,FALSE)," ")</f>
        <v>1</v>
      </c>
      <c r="H33" s="72" t="s">
        <v>206</v>
      </c>
      <c r="I33" s="79"/>
      <c r="J33" s="487">
        <v>6182</v>
      </c>
      <c r="K33" s="75">
        <v>5.7305134555757968</v>
      </c>
      <c r="L33" s="337" t="str">
        <f>VLOOKUP($J33,[21]Nod!$A$3:$E$991,4,FALSE)</f>
        <v>VEL230</v>
      </c>
      <c r="M33" s="337">
        <f>VLOOKUP($J33,[21]Nod!$A$3:$E$991,5,FALSE)</f>
        <v>4</v>
      </c>
    </row>
    <row r="34" spans="1:13" ht="15" customHeight="1" x14ac:dyDescent="0.25">
      <c r="A34" s="450" t="s">
        <v>312</v>
      </c>
      <c r="C34" s="39"/>
      <c r="D34" s="41"/>
      <c r="E34" s="50"/>
      <c r="F34" s="31"/>
      <c r="G34" s="31" t="str">
        <f>IFERROR(VLOOKUP($C34,[20]Nod!$A$3:$E$992,5,FALSE)," ")</f>
        <v xml:space="preserve"> </v>
      </c>
      <c r="H34" s="443" t="s">
        <v>37</v>
      </c>
      <c r="I34" s="444"/>
      <c r="J34" s="446"/>
      <c r="K34" s="451"/>
      <c r="L34" s="337"/>
      <c r="M34" s="337"/>
    </row>
    <row r="35" spans="1:13" ht="15" customHeight="1" x14ac:dyDescent="0.25">
      <c r="A35" s="452" t="s">
        <v>313</v>
      </c>
      <c r="C35" s="39"/>
      <c r="D35" s="41"/>
      <c r="E35" s="50"/>
      <c r="F35" s="31"/>
      <c r="G35" s="31" t="str">
        <f>IFERROR(VLOOKUP($C35,[20]Nod!$A$3:$E$992,5,FALSE)," ")</f>
        <v xml:space="preserve"> </v>
      </c>
      <c r="H35" s="453">
        <v>5</v>
      </c>
      <c r="I35" s="454"/>
      <c r="J35" s="484"/>
      <c r="K35" s="456">
        <f>SUM(K36:K44)</f>
        <v>421.80727667034165</v>
      </c>
      <c r="L35" s="337"/>
      <c r="M35" s="337"/>
    </row>
    <row r="36" spans="1:13" ht="15" customHeight="1" x14ac:dyDescent="0.25">
      <c r="A36" s="51" t="s">
        <v>37</v>
      </c>
      <c r="B36" s="3"/>
      <c r="C36" s="41"/>
      <c r="D36" s="41"/>
      <c r="E36" s="442"/>
      <c r="F36" s="31" t="str">
        <f>IFERROR(VLOOKUP($C36,[20]Nod!$A$3:$E$992,4,FALSE)," ")</f>
        <v xml:space="preserve"> </v>
      </c>
      <c r="G36" s="31" t="str">
        <f>IFERROR(VLOOKUP($C36,[20]Nod!$A$3:$E$992,5,FALSE)," ")</f>
        <v xml:space="preserve"> </v>
      </c>
      <c r="H36" s="429" t="s">
        <v>54</v>
      </c>
      <c r="I36" s="79"/>
      <c r="J36" s="90"/>
      <c r="K36" s="457"/>
      <c r="L36" s="337"/>
      <c r="M36" s="337"/>
    </row>
    <row r="37" spans="1:13" ht="15" customHeight="1" x14ac:dyDescent="0.25">
      <c r="A37" s="52">
        <v>2</v>
      </c>
      <c r="B37" s="45"/>
      <c r="C37" s="46"/>
      <c r="D37" s="47">
        <f>SUM(D38:D43)</f>
        <v>548.69000000000005</v>
      </c>
      <c r="E37" s="436"/>
      <c r="F37" s="31" t="str">
        <f>IFERROR(VLOOKUP($C37,[20]Nod!$A$3:$E$992,4,FALSE)," ")</f>
        <v xml:space="preserve"> </v>
      </c>
      <c r="G37" s="31" t="str">
        <f>IFERROR(VLOOKUP($C37,[20]Nod!$A$3:$E$992,5,FALSE)," ")</f>
        <v xml:space="preserve"> </v>
      </c>
      <c r="H37" s="458" t="s">
        <v>56</v>
      </c>
      <c r="I37" s="79"/>
      <c r="J37" s="90">
        <v>6009</v>
      </c>
      <c r="K37" s="75">
        <v>231.11</v>
      </c>
      <c r="L37" s="337" t="str">
        <f>VLOOKUP($J37,[21]Nod!$A$3:$E$991,4,FALSE)</f>
        <v>LSA115</v>
      </c>
      <c r="M37" s="337">
        <f>VLOOKUP($J37,[21]Nod!$A$3:$E$991,5,FALSE)</f>
        <v>5</v>
      </c>
    </row>
    <row r="38" spans="1:13" ht="15" customHeight="1" x14ac:dyDescent="0.25">
      <c r="A38" s="459" t="s">
        <v>58</v>
      </c>
      <c r="B38" s="3"/>
      <c r="C38" s="41">
        <v>6096</v>
      </c>
      <c r="D38" s="441">
        <v>300</v>
      </c>
      <c r="E38" s="442">
        <v>0</v>
      </c>
      <c r="F38" s="31" t="str">
        <f>IFERROR(VLOOKUP($C38,[20]Nod!$A$3:$E$992,4,FALSE)," ")</f>
        <v>FOR230</v>
      </c>
      <c r="G38" s="31">
        <f>IFERROR(VLOOKUP($C38,[20]Nod!$A$3:$E$992,5,FALSE)," ")</f>
        <v>2</v>
      </c>
      <c r="H38" s="458" t="s">
        <v>202</v>
      </c>
      <c r="I38" s="79"/>
      <c r="J38" s="90">
        <v>6460</v>
      </c>
      <c r="K38" s="75">
        <v>22.377276670341647</v>
      </c>
      <c r="L38" s="337" t="str">
        <f>VLOOKUP($J38,[21]Nod!$A$3:$E$991,4,FALSE)</f>
        <v>ECO230</v>
      </c>
      <c r="M38" s="337">
        <f>VLOOKUP($J38,[21]Nod!$A$3:$E$991,5,FALSE)</f>
        <v>5</v>
      </c>
    </row>
    <row r="39" spans="1:13" ht="15" customHeight="1" x14ac:dyDescent="0.25">
      <c r="A39" s="459" t="s">
        <v>314</v>
      </c>
      <c r="B39" s="3"/>
      <c r="C39" s="41">
        <v>6179</v>
      </c>
      <c r="D39" s="441">
        <v>120</v>
      </c>
      <c r="E39" s="442">
        <v>0</v>
      </c>
      <c r="F39" s="31" t="str">
        <f>IFERROR(VLOOKUP($C39,[20]Nod!$A$3:$E$992,4,FALSE)," ")</f>
        <v>GUA230</v>
      </c>
      <c r="G39" s="31">
        <f>IFERROR(VLOOKUP($C39,[20]Nod!$A$3:$E$992,5,FALSE)," ")</f>
        <v>2</v>
      </c>
      <c r="H39" s="429" t="s">
        <v>57</v>
      </c>
      <c r="I39" s="79"/>
      <c r="J39" s="90"/>
      <c r="K39" s="90"/>
      <c r="L39" s="337"/>
      <c r="M39" s="337"/>
    </row>
    <row r="40" spans="1:13" ht="15" customHeight="1" x14ac:dyDescent="0.25">
      <c r="A40" s="459" t="s">
        <v>62</v>
      </c>
      <c r="B40" s="3"/>
      <c r="C40" s="41">
        <v>6179</v>
      </c>
      <c r="D40" s="441">
        <v>25.34</v>
      </c>
      <c r="E40" s="442">
        <v>0</v>
      </c>
      <c r="F40" s="31" t="str">
        <f>IFERROR(VLOOKUP($C40,[20]Nod!$A$3:$E$992,4,FALSE)," ")</f>
        <v>GUA230</v>
      </c>
      <c r="G40" s="31">
        <f>IFERROR(VLOOKUP($C40,[20]Nod!$A$3:$E$992,5,FALSE)," ")</f>
        <v>2</v>
      </c>
      <c r="H40" s="95" t="s">
        <v>59</v>
      </c>
      <c r="I40" s="79"/>
      <c r="J40" s="90">
        <v>6009</v>
      </c>
      <c r="K40" s="75">
        <v>0.89</v>
      </c>
      <c r="L40" s="337" t="str">
        <f>VLOOKUP($J40,[21]Nod!$A$3:$E$991,4,FALSE)</f>
        <v>LSA115</v>
      </c>
      <c r="M40" s="337">
        <f>VLOOKUP($J40,[21]Nod!$A$3:$E$991,5,FALSE)</f>
        <v>5</v>
      </c>
    </row>
    <row r="41" spans="1:13" ht="15" customHeight="1" x14ac:dyDescent="0.25">
      <c r="A41" s="459" t="s">
        <v>64</v>
      </c>
      <c r="B41" s="3"/>
      <c r="C41" s="41">
        <v>6179</v>
      </c>
      <c r="D41" s="441">
        <v>35</v>
      </c>
      <c r="E41" s="442">
        <v>0</v>
      </c>
      <c r="F41" s="31" t="str">
        <f>IFERROR(VLOOKUP($C41,[20]Nod!$A$3:$E$992,4,FALSE)," ")</f>
        <v>GUA230</v>
      </c>
      <c r="G41" s="31">
        <f>IFERROR(VLOOKUP($C41,[20]Nod!$A$3:$E$992,5,FALSE)," ")</f>
        <v>2</v>
      </c>
      <c r="H41" s="95" t="s">
        <v>315</v>
      </c>
      <c r="I41" s="79"/>
      <c r="J41" s="90">
        <v>6009</v>
      </c>
      <c r="K41" s="75">
        <v>0</v>
      </c>
      <c r="L41" s="337" t="str">
        <f>VLOOKUP($J41,[21]Nod!$A$3:$E$991,4,FALSE)</f>
        <v>LSA115</v>
      </c>
      <c r="M41" s="337">
        <f>VLOOKUP($J41,[21]Nod!$A$3:$E$991,5,FALSE)</f>
        <v>5</v>
      </c>
    </row>
    <row r="42" spans="1:13" ht="15" customHeight="1" x14ac:dyDescent="0.25">
      <c r="A42" s="459" t="s">
        <v>66</v>
      </c>
      <c r="B42" s="3"/>
      <c r="C42" s="41">
        <v>6179</v>
      </c>
      <c r="D42" s="441">
        <v>58.66</v>
      </c>
      <c r="E42" s="442">
        <v>0</v>
      </c>
      <c r="F42" s="31" t="str">
        <f>IFERROR(VLOOKUP($C42,[20]Nod!$A$3:$E$992,4,FALSE)," ")</f>
        <v>GUA230</v>
      </c>
      <c r="G42" s="31">
        <f>IFERROR(VLOOKUP($C42,[20]Nod!$A$3:$E$992,5,FALSE)," ")</f>
        <v>2</v>
      </c>
      <c r="H42" s="460" t="s">
        <v>316</v>
      </c>
      <c r="I42" s="79"/>
      <c r="J42" s="90"/>
      <c r="K42" s="90"/>
      <c r="L42" s="337"/>
      <c r="M42" s="337"/>
    </row>
    <row r="43" spans="1:13" ht="15" customHeight="1" x14ac:dyDescent="0.25">
      <c r="A43" s="459" t="s">
        <v>317</v>
      </c>
      <c r="B43" s="3"/>
      <c r="C43" s="41">
        <v>6179</v>
      </c>
      <c r="D43" s="441">
        <v>9.69</v>
      </c>
      <c r="E43" s="442">
        <v>0</v>
      </c>
      <c r="F43" s="31" t="str">
        <f>IFERROR(VLOOKUP($C43,[20]Nod!$A$3:$E$992,4,FALSE)," ")</f>
        <v>GUA230</v>
      </c>
      <c r="G43" s="31">
        <f>IFERROR(VLOOKUP($C43,[20]Nod!$A$3:$E$992,5,FALSE)," ")</f>
        <v>2</v>
      </c>
      <c r="H43" s="95" t="s">
        <v>67</v>
      </c>
      <c r="I43" s="79"/>
      <c r="J43" s="90">
        <v>6008</v>
      </c>
      <c r="K43" s="495">
        <v>167.43</v>
      </c>
      <c r="L43" s="337" t="str">
        <f>VLOOKUP($J43,[21]Nod!$A$3:$E$991,4,FALSE)</f>
        <v>LSA230</v>
      </c>
      <c r="M43" s="337">
        <f>VLOOKUP($J43,[21]Nod!$A$3:$E$991,5,FALSE)</f>
        <v>5</v>
      </c>
    </row>
    <row r="44" spans="1:13" ht="15" customHeight="1" x14ac:dyDescent="0.25">
      <c r="A44" s="55" t="s">
        <v>37</v>
      </c>
      <c r="B44" s="43"/>
      <c r="C44" s="44"/>
      <c r="D44" s="44"/>
      <c r="E44" s="461"/>
      <c r="F44" s="31" t="str">
        <f>IFERROR(VLOOKUP($C44,[20]Nod!$A$3:$E$992,4,FALSE)," ")</f>
        <v xml:space="preserve"> </v>
      </c>
      <c r="G44" s="31" t="str">
        <f>IFERROR(VLOOKUP($C44,[20]Nod!$A$3:$E$992,5,FALSE)," ")</f>
        <v xml:space="preserve"> </v>
      </c>
      <c r="H44" s="462" t="s">
        <v>37</v>
      </c>
      <c r="I44" s="79"/>
      <c r="J44" s="90"/>
      <c r="K44" s="90"/>
      <c r="L44" s="337"/>
      <c r="M44" s="337"/>
    </row>
    <row r="45" spans="1:13" ht="15" customHeight="1" x14ac:dyDescent="0.25">
      <c r="A45" s="33">
        <v>3</v>
      </c>
      <c r="B45" s="34"/>
      <c r="C45" s="35"/>
      <c r="D45" s="76">
        <f>SUM(D46:D51)</f>
        <v>154.74</v>
      </c>
      <c r="E45" s="463"/>
      <c r="F45" s="31" t="str">
        <f>IFERROR(VLOOKUP($C45,[20]Nod!$A$3:$E$992,4,FALSE)," ")</f>
        <v xml:space="preserve"> </v>
      </c>
      <c r="G45" s="31" t="str">
        <f>IFERROR(VLOOKUP($C45,[20]Nod!$A$3:$E$992,5,FALSE)," ")</f>
        <v xml:space="preserve"> </v>
      </c>
      <c r="H45" s="447">
        <v>6</v>
      </c>
      <c r="I45" s="438"/>
      <c r="J45" s="485"/>
      <c r="K45" s="439">
        <f>SUM(K46:K51)</f>
        <v>203.54055121538289</v>
      </c>
      <c r="L45" s="337"/>
      <c r="M45" s="337"/>
    </row>
    <row r="46" spans="1:13" ht="15" customHeight="1" x14ac:dyDescent="0.25">
      <c r="A46" s="440" t="s">
        <v>69</v>
      </c>
      <c r="B46" s="3"/>
      <c r="C46" s="41">
        <v>6087</v>
      </c>
      <c r="D46" s="441">
        <v>47.2</v>
      </c>
      <c r="E46" s="442">
        <v>0</v>
      </c>
      <c r="F46" s="31" t="str">
        <f>IFERROR(VLOOKUP($C46,[20]Nod!$A$3:$E$992,4,FALSE)," ")</f>
        <v>CAL115</v>
      </c>
      <c r="G46" s="31">
        <f>IFERROR(VLOOKUP($C46,[20]Nod!$A$3:$E$992,5,FALSE)," ")</f>
        <v>3</v>
      </c>
      <c r="H46" s="429" t="s">
        <v>54</v>
      </c>
      <c r="I46" s="79"/>
      <c r="J46" s="90"/>
      <c r="K46" s="90"/>
      <c r="L46" s="337"/>
      <c r="M46" s="337"/>
    </row>
    <row r="47" spans="1:13" ht="15" customHeight="1" x14ac:dyDescent="0.25">
      <c r="A47" s="440" t="s">
        <v>71</v>
      </c>
      <c r="B47" s="3"/>
      <c r="C47" s="41">
        <v>6087</v>
      </c>
      <c r="D47" s="441">
        <v>54.76</v>
      </c>
      <c r="E47" s="442">
        <v>0</v>
      </c>
      <c r="F47" s="31" t="str">
        <f>IFERROR(VLOOKUP($C47,[20]Nod!$A$3:$E$992,4,FALSE)," ")</f>
        <v>CAL115</v>
      </c>
      <c r="G47" s="31">
        <f>IFERROR(VLOOKUP($C47,[20]Nod!$A$3:$E$992,5,FALSE)," ")</f>
        <v>3</v>
      </c>
      <c r="H47" s="95" t="s">
        <v>70</v>
      </c>
      <c r="I47" s="79"/>
      <c r="J47" s="90">
        <v>6005</v>
      </c>
      <c r="K47" s="75">
        <v>201.07</v>
      </c>
      <c r="L47" s="337" t="str">
        <f>VLOOKUP($J47,[21]Nod!$A$3:$E$991,4,FALSE)</f>
        <v>CHO230</v>
      </c>
      <c r="M47" s="337">
        <f>VLOOKUP($J47,[21]Nod!$A$3:$E$991,5,FALSE)</f>
        <v>6</v>
      </c>
    </row>
    <row r="48" spans="1:13" ht="15" customHeight="1" x14ac:dyDescent="0.25">
      <c r="A48" s="440" t="s">
        <v>72</v>
      </c>
      <c r="B48" s="3"/>
      <c r="C48" s="41">
        <v>6087</v>
      </c>
      <c r="D48" s="441">
        <v>19.75</v>
      </c>
      <c r="E48" s="442">
        <v>0</v>
      </c>
      <c r="F48" s="31" t="str">
        <f>IFERROR(VLOOKUP($C48,[20]Nod!$A$3:$E$992,4,FALSE)," ")</f>
        <v>CAL115</v>
      </c>
      <c r="G48" s="31">
        <f>IFERROR(VLOOKUP($C48,[20]Nod!$A$3:$E$992,5,FALSE)," ")</f>
        <v>3</v>
      </c>
      <c r="H48" s="429" t="s">
        <v>57</v>
      </c>
      <c r="I48" s="79"/>
      <c r="J48" s="90"/>
      <c r="K48" s="90"/>
      <c r="L48" s="337"/>
      <c r="M48" s="337"/>
    </row>
    <row r="49" spans="1:15" ht="15" customHeight="1" x14ac:dyDescent="0.25">
      <c r="A49" s="448" t="s">
        <v>73</v>
      </c>
      <c r="B49" s="3"/>
      <c r="C49" s="41">
        <v>6087</v>
      </c>
      <c r="D49" s="449">
        <v>15.5</v>
      </c>
      <c r="E49" s="442">
        <v>0</v>
      </c>
      <c r="F49" s="31" t="str">
        <f>IFERROR(VLOOKUP($C49,[20]Nod!$A$3:$E$992,4,FALSE)," ")</f>
        <v>CAL115</v>
      </c>
      <c r="G49" s="31">
        <f>IFERROR(VLOOKUP($C49,[20]Nod!$A$3:$E$992,5,FALSE)," ")</f>
        <v>3</v>
      </c>
      <c r="H49" s="95" t="s">
        <v>59</v>
      </c>
      <c r="I49" s="79"/>
      <c r="J49" s="90">
        <v>6005</v>
      </c>
      <c r="K49" s="75">
        <v>0.37055121538289071</v>
      </c>
      <c r="L49" s="337" t="str">
        <f>VLOOKUP($J49,[21]Nod!$A$3:$E$991,4,FALSE)</f>
        <v>CHO230</v>
      </c>
      <c r="M49" s="337">
        <f>VLOOKUP($J49,[21]Nod!$A$3:$E$991,5,FALSE)</f>
        <v>6</v>
      </c>
    </row>
    <row r="50" spans="1:15" ht="15" customHeight="1" x14ac:dyDescent="0.25">
      <c r="A50" s="440" t="s">
        <v>75</v>
      </c>
      <c r="B50" s="3"/>
      <c r="C50" s="41">
        <v>6087</v>
      </c>
      <c r="D50" s="441">
        <v>7.8</v>
      </c>
      <c r="E50" s="442">
        <v>0</v>
      </c>
      <c r="F50" s="31" t="str">
        <f>IFERROR(VLOOKUP($C50,[20]Nod!$A$3:$E$992,4,FALSE)," ")</f>
        <v>CAL115</v>
      </c>
      <c r="G50" s="31">
        <f>IFERROR(VLOOKUP($C50,[20]Nod!$A$3:$E$992,5,FALSE)," ")</f>
        <v>3</v>
      </c>
      <c r="H50" s="95" t="s">
        <v>74</v>
      </c>
      <c r="I50" s="79"/>
      <c r="J50" s="90">
        <v>6005</v>
      </c>
      <c r="K50" s="75">
        <v>2.1</v>
      </c>
      <c r="L50" s="337" t="str">
        <f>VLOOKUP($J50,[21]Nod!$A$3:$E$991,4,FALSE)</f>
        <v>CHO230</v>
      </c>
      <c r="M50" s="337">
        <f>VLOOKUP($J50,[21]Nod!$A$3:$E$991,5,FALSE)</f>
        <v>6</v>
      </c>
    </row>
    <row r="51" spans="1:15" ht="15" customHeight="1" x14ac:dyDescent="0.25">
      <c r="A51" s="440" t="s">
        <v>76</v>
      </c>
      <c r="B51" s="3"/>
      <c r="C51" s="41">
        <v>6087</v>
      </c>
      <c r="D51" s="441">
        <v>9.73</v>
      </c>
      <c r="E51" s="442">
        <v>0</v>
      </c>
      <c r="F51" s="31" t="str">
        <f>IFERROR(VLOOKUP($C51,[20]Nod!$A$3:$E$992,4,FALSE)," ")</f>
        <v>CAL115</v>
      </c>
      <c r="G51" s="31">
        <f>IFERROR(VLOOKUP($C51,[20]Nod!$A$3:$E$992,5,FALSE)," ")</f>
        <v>3</v>
      </c>
      <c r="H51" s="443" t="s">
        <v>37</v>
      </c>
      <c r="I51" s="444"/>
      <c r="J51" s="446"/>
      <c r="K51" s="446"/>
      <c r="L51" s="337"/>
      <c r="M51" s="337"/>
    </row>
    <row r="52" spans="1:15" ht="15" customHeight="1" x14ac:dyDescent="0.25">
      <c r="A52" s="51" t="s">
        <v>37</v>
      </c>
      <c r="B52" s="3"/>
      <c r="C52" s="41"/>
      <c r="D52" s="41"/>
      <c r="E52" s="442"/>
      <c r="F52" s="31" t="str">
        <f>IFERROR(VLOOKUP($C52,[20]Nod!$A$3:$E$992,4,FALSE)," ")</f>
        <v xml:space="preserve"> </v>
      </c>
      <c r="G52" s="31" t="str">
        <f>IFERROR(VLOOKUP($C52,[20]Nod!$A$3:$E$992,5,FALSE)," ")</f>
        <v xml:space="preserve"> </v>
      </c>
      <c r="H52" s="447">
        <v>7</v>
      </c>
      <c r="I52" s="438"/>
      <c r="J52" s="485"/>
      <c r="K52" s="439">
        <f>SUM(K54:K70)</f>
        <v>1166.4340438628744</v>
      </c>
      <c r="L52" s="337"/>
      <c r="M52" s="337"/>
    </row>
    <row r="53" spans="1:15" ht="15" customHeight="1" x14ac:dyDescent="0.25">
      <c r="A53" s="49">
        <v>4</v>
      </c>
      <c r="B53" s="45"/>
      <c r="C53" s="46"/>
      <c r="D53" s="47">
        <f>SUM(D54:D92)</f>
        <v>490.43</v>
      </c>
      <c r="E53" s="436"/>
      <c r="F53" s="31" t="str">
        <f>IFERROR(VLOOKUP($C53,[20]Nod!$A$3:$E$992,4,FALSE)," ")</f>
        <v xml:space="preserve"> </v>
      </c>
      <c r="G53" s="31" t="str">
        <f>IFERROR(VLOOKUP($C53,[20]Nod!$A$3:$E$992,5,FALSE)," ")</f>
        <v xml:space="preserve"> </v>
      </c>
      <c r="H53" s="429" t="s">
        <v>77</v>
      </c>
      <c r="I53" s="79"/>
      <c r="J53" s="90"/>
      <c r="K53" s="90"/>
      <c r="L53" s="337"/>
      <c r="M53" s="337"/>
    </row>
    <row r="54" spans="1:15" ht="15" customHeight="1" x14ac:dyDescent="0.25">
      <c r="A54" s="440" t="s">
        <v>98</v>
      </c>
      <c r="B54" s="3"/>
      <c r="C54" s="41">
        <v>6380</v>
      </c>
      <c r="D54" s="441">
        <v>51.65</v>
      </c>
      <c r="E54" s="442">
        <v>0</v>
      </c>
      <c r="F54" s="31" t="str">
        <f>IFERROR(VLOOKUP($C54,[20]Nod!$A$3:$E$992,4,FALSE)," ")</f>
        <v>BOQIII230</v>
      </c>
      <c r="G54" s="31">
        <f>IFERROR(VLOOKUP($C54,[20]Nod!$A$3:$E$992,5,FALSE)," ")</f>
        <v>4</v>
      </c>
      <c r="H54" s="95" t="s">
        <v>78</v>
      </c>
      <c r="I54" s="79"/>
      <c r="J54" s="90">
        <v>6002</v>
      </c>
      <c r="K54" s="75">
        <v>234.96</v>
      </c>
      <c r="L54" s="337" t="str">
        <f>VLOOKUP($J54,[21]Nod!$A$3:$E$991,4,FALSE)</f>
        <v>PAN115</v>
      </c>
      <c r="M54" s="337">
        <f>VLOOKUP($J54,[21]Nod!$A$3:$E$991,5,FALSE)</f>
        <v>7</v>
      </c>
    </row>
    <row r="55" spans="1:15" ht="15" customHeight="1" x14ac:dyDescent="0.25">
      <c r="A55" s="440" t="s">
        <v>100</v>
      </c>
      <c r="B55" s="3"/>
      <c r="C55" s="41">
        <v>6380</v>
      </c>
      <c r="D55" s="441">
        <v>32.6</v>
      </c>
      <c r="E55" s="442">
        <v>0</v>
      </c>
      <c r="F55" s="31" t="str">
        <f>IFERROR(VLOOKUP($C55,[20]Nod!$A$3:$E$992,4,FALSE)," ")</f>
        <v>BOQIII230</v>
      </c>
      <c r="G55" s="31">
        <f>IFERROR(VLOOKUP($C55,[20]Nod!$A$3:$E$992,5,FALSE)," ")</f>
        <v>4</v>
      </c>
      <c r="H55" s="95" t="s">
        <v>80</v>
      </c>
      <c r="I55" s="79"/>
      <c r="J55" s="90">
        <v>6004</v>
      </c>
      <c r="K55" s="75">
        <v>341.9</v>
      </c>
      <c r="L55" s="337" t="str">
        <f>VLOOKUP($J55,[21]Nod!$A$3:$E$991,4,FALSE)</f>
        <v>PANII115</v>
      </c>
      <c r="M55" s="337">
        <f>VLOOKUP($J55,[21]Nod!$A$3:$E$991,5,FALSE)</f>
        <v>7</v>
      </c>
    </row>
    <row r="56" spans="1:15" ht="15" customHeight="1" x14ac:dyDescent="0.25">
      <c r="A56" s="440" t="s">
        <v>104</v>
      </c>
      <c r="B56" s="3"/>
      <c r="C56" s="41">
        <v>6013</v>
      </c>
      <c r="D56" s="441">
        <v>72.2</v>
      </c>
      <c r="E56" s="442">
        <v>0</v>
      </c>
      <c r="F56" s="31" t="str">
        <f>IFERROR(VLOOKUP($C56,[20]Nod!$A$3:$E$992,4,FALSE)," ")</f>
        <v>MDN34</v>
      </c>
      <c r="G56" s="31">
        <f>IFERROR(VLOOKUP($C56,[20]Nod!$A$3:$E$992,5,FALSE)," ")</f>
        <v>4</v>
      </c>
      <c r="H56" s="95" t="s">
        <v>82</v>
      </c>
      <c r="I56" s="79"/>
      <c r="J56" s="90">
        <v>6470</v>
      </c>
      <c r="K56" s="75">
        <v>52.731500000000004</v>
      </c>
      <c r="L56" s="337" t="str">
        <f>VLOOKUP($J56,[21]Nod!$A$3:$E$991,4,FALSE)</f>
        <v>24DIC230</v>
      </c>
      <c r="M56" s="337">
        <f>VLOOKUP($J56,[21]Nod!$A$3:$E$991,5,FALSE)</f>
        <v>7</v>
      </c>
    </row>
    <row r="57" spans="1:15" ht="15" customHeight="1" x14ac:dyDescent="0.25">
      <c r="A57" s="440" t="s">
        <v>110</v>
      </c>
      <c r="B57" s="3"/>
      <c r="C57" s="41">
        <v>6013</v>
      </c>
      <c r="D57" s="441">
        <v>28.84</v>
      </c>
      <c r="E57" s="442">
        <v>0</v>
      </c>
      <c r="F57" s="31" t="str">
        <f>IFERROR(VLOOKUP($C57,[20]Nod!$A$3:$E$992,4,FALSE)," ")</f>
        <v>MDN34</v>
      </c>
      <c r="G57" s="31">
        <f>IFERROR(VLOOKUP($C57,[20]Nod!$A$3:$E$992,5,FALSE)," ")</f>
        <v>4</v>
      </c>
      <c r="H57" s="429" t="s">
        <v>296</v>
      </c>
      <c r="I57" s="79"/>
      <c r="J57" s="90"/>
      <c r="K57" s="90"/>
      <c r="L57" s="337"/>
      <c r="M57" s="337"/>
    </row>
    <row r="58" spans="1:15" ht="15" customHeight="1" x14ac:dyDescent="0.25">
      <c r="A58" s="440" t="s">
        <v>318</v>
      </c>
      <c r="B58" s="3"/>
      <c r="C58" s="41">
        <v>6380</v>
      </c>
      <c r="D58" s="441"/>
      <c r="E58" s="442">
        <v>0</v>
      </c>
      <c r="F58" s="31" t="str">
        <f>IFERROR(VLOOKUP($C58,[20]Nod!$A$3:$E$992,4,FALSE)," ")</f>
        <v>BOQIII230</v>
      </c>
      <c r="G58" s="31">
        <f>IFERROR(VLOOKUP($C58,[20]Nod!$A$3:$E$992,5,FALSE)," ")</f>
        <v>4</v>
      </c>
      <c r="H58" s="95" t="s">
        <v>88</v>
      </c>
      <c r="I58" s="79"/>
      <c r="J58" s="90">
        <v>6024</v>
      </c>
      <c r="K58" s="75">
        <v>22.221784895105081</v>
      </c>
      <c r="L58" s="337" t="str">
        <f>VLOOKUP($J58,[21]Nod!$A$3:$E$991,4,FALSE)</f>
        <v>CHI115</v>
      </c>
      <c r="M58" s="337">
        <f>VLOOKUP($J58,[21]Nod!$A$3:$E$991,5,FALSE)</f>
        <v>7</v>
      </c>
    </row>
    <row r="59" spans="1:15" ht="15" customHeight="1" x14ac:dyDescent="0.25">
      <c r="A59" s="440" t="s">
        <v>319</v>
      </c>
      <c r="B59" s="3"/>
      <c r="C59" s="41">
        <v>6380</v>
      </c>
      <c r="D59" s="441">
        <v>70</v>
      </c>
      <c r="E59" s="442">
        <v>7</v>
      </c>
      <c r="F59" s="31" t="str">
        <f>IFERROR(VLOOKUP($C59,[20]Nod!$A$3:$E$992,4,FALSE)," ")</f>
        <v>BOQIII230</v>
      </c>
      <c r="G59" s="31">
        <f>IFERROR(VLOOKUP($C59,[20]Nod!$A$3:$E$992,5,FALSE)," ")</f>
        <v>4</v>
      </c>
      <c r="H59" s="95" t="s">
        <v>95</v>
      </c>
      <c r="I59" s="79"/>
      <c r="J59" s="90">
        <v>6002</v>
      </c>
      <c r="K59" s="75">
        <v>0.14399999999999999</v>
      </c>
      <c r="L59" s="337" t="str">
        <f>VLOOKUP($J59,[21]Nod!$A$3:$E$991,4,FALSE)</f>
        <v>PAN115</v>
      </c>
      <c r="M59" s="337">
        <f>VLOOKUP($J59,[21]Nod!$A$3:$E$991,5,FALSE)</f>
        <v>7</v>
      </c>
    </row>
    <row r="60" spans="1:15" ht="15" customHeight="1" x14ac:dyDescent="0.25">
      <c r="A60" s="440" t="s">
        <v>79</v>
      </c>
      <c r="B60" s="3"/>
      <c r="C60" s="41">
        <v>6380</v>
      </c>
      <c r="D60" s="441">
        <v>10</v>
      </c>
      <c r="E60" s="442">
        <v>0</v>
      </c>
      <c r="F60" s="31" t="str">
        <f>IFERROR(VLOOKUP($C60,[20]Nod!$A$3:$E$992,4,FALSE)," ")</f>
        <v>BOQIII230</v>
      </c>
      <c r="G60" s="31">
        <f>IFERROR(VLOOKUP($C60,[20]Nod!$A$3:$E$992,5,FALSE)," ")</f>
        <v>4</v>
      </c>
      <c r="H60" s="95" t="s">
        <v>101</v>
      </c>
      <c r="I60" s="79"/>
      <c r="J60" s="90">
        <v>6004</v>
      </c>
      <c r="K60" s="75">
        <v>0.27900000000000003</v>
      </c>
      <c r="L60" s="337" t="str">
        <f>VLOOKUP($J60,[21]Nod!$A$3:$E$991,4,FALSE)</f>
        <v>PANII115</v>
      </c>
      <c r="M60" s="337">
        <f>VLOOKUP($J60,[21]Nod!$A$3:$E$991,5,FALSE)</f>
        <v>7</v>
      </c>
    </row>
    <row r="61" spans="1:15" ht="15" customHeight="1" x14ac:dyDescent="0.25">
      <c r="A61" s="440" t="s">
        <v>81</v>
      </c>
      <c r="B61" s="3"/>
      <c r="C61" s="56">
        <v>6013</v>
      </c>
      <c r="D61" s="465">
        <v>5.8</v>
      </c>
      <c r="E61" s="442">
        <v>0</v>
      </c>
      <c r="F61" s="31" t="str">
        <f>IFERROR(VLOOKUP($C61,[20]Nod!$A$3:$E$992,4,FALSE)," ")</f>
        <v>MDN34</v>
      </c>
      <c r="G61" s="31">
        <f>IFERROR(VLOOKUP($C61,[20]Nod!$A$3:$E$992,5,FALSE)," ")</f>
        <v>4</v>
      </c>
      <c r="H61" s="95" t="s">
        <v>59</v>
      </c>
      <c r="I61" s="79"/>
      <c r="J61" s="90">
        <v>6002</v>
      </c>
      <c r="K61" s="75">
        <v>1.8299134055555555</v>
      </c>
      <c r="L61" s="337" t="str">
        <f>VLOOKUP($J61,[21]Nod!$A$3:$E$991,4,FALSE)</f>
        <v>PAN115</v>
      </c>
      <c r="M61" s="337">
        <f>VLOOKUP($J61,[21]Nod!$A$3:$E$991,5,FALSE)</f>
        <v>7</v>
      </c>
    </row>
    <row r="62" spans="1:15" ht="15" customHeight="1" x14ac:dyDescent="0.25">
      <c r="A62" s="440" t="s">
        <v>83</v>
      </c>
      <c r="B62" s="3"/>
      <c r="C62" s="56">
        <v>6013</v>
      </c>
      <c r="D62" s="441">
        <v>6</v>
      </c>
      <c r="E62" s="442">
        <v>0</v>
      </c>
      <c r="F62" s="31" t="str">
        <f>IFERROR(VLOOKUP($C62,[20]Nod!$A$3:$E$992,4,FALSE)," ")</f>
        <v>MDN34</v>
      </c>
      <c r="G62" s="31">
        <f>IFERROR(VLOOKUP($C62,[20]Nod!$A$3:$E$992,5,FALSE)," ")</f>
        <v>4</v>
      </c>
      <c r="H62" s="429" t="s">
        <v>54</v>
      </c>
      <c r="I62" s="79"/>
      <c r="J62" s="90"/>
      <c r="K62" s="90"/>
      <c r="L62" s="337"/>
      <c r="M62" s="337"/>
      <c r="N62" s="3" t="s">
        <v>207</v>
      </c>
      <c r="O62" s="70" t="s">
        <v>199</v>
      </c>
    </row>
    <row r="63" spans="1:15" ht="15" customHeight="1" x14ac:dyDescent="0.25">
      <c r="A63" s="448" t="s">
        <v>299</v>
      </c>
      <c r="B63" s="3"/>
      <c r="C63" s="41">
        <v>6380</v>
      </c>
      <c r="D63" s="449">
        <v>20.91</v>
      </c>
      <c r="E63" s="442">
        <v>0</v>
      </c>
      <c r="F63" s="31" t="str">
        <f>IFERROR(VLOOKUP($C63,[20]Nod!$A$3:$E$992,4,FALSE)," ")</f>
        <v>BOQIII230</v>
      </c>
      <c r="G63" s="31">
        <f>IFERROR(VLOOKUP($C63,[20]Nod!$A$3:$E$992,5,FALSE)," ")</f>
        <v>4</v>
      </c>
      <c r="H63" s="95" t="s">
        <v>78</v>
      </c>
      <c r="I63" s="79"/>
      <c r="J63" s="90">
        <v>6002</v>
      </c>
      <c r="K63" s="426">
        <v>506.83</v>
      </c>
      <c r="L63" s="337" t="str">
        <f>VLOOKUP($J63,[21]Nod!$A$3:$E$991,4,FALSE)</f>
        <v>PAN115</v>
      </c>
      <c r="M63" s="337">
        <f>VLOOKUP($J63,[21]Nod!$A$3:$E$991,5,FALSE)</f>
        <v>7</v>
      </c>
      <c r="N63" s="73" t="s">
        <v>54</v>
      </c>
      <c r="O63" s="71">
        <v>1.7638351753540986</v>
      </c>
    </row>
    <row r="64" spans="1:15" ht="15" customHeight="1" x14ac:dyDescent="0.25">
      <c r="A64" s="448" t="s">
        <v>298</v>
      </c>
      <c r="B64" s="3"/>
      <c r="C64" s="41">
        <v>6380</v>
      </c>
      <c r="D64" s="449">
        <v>13.18</v>
      </c>
      <c r="E64" s="442">
        <v>0</v>
      </c>
      <c r="F64" s="31" t="str">
        <f>IFERROR(VLOOKUP($C64,[20]Nod!$A$3:$E$992,4,FALSE)," ")</f>
        <v>BOQIII230</v>
      </c>
      <c r="G64" s="31">
        <f>IFERROR(VLOOKUP($C64,[20]Nod!$A$3:$E$992,5,FALSE)," ")</f>
        <v>4</v>
      </c>
      <c r="H64" s="429" t="s">
        <v>297</v>
      </c>
      <c r="I64" s="79"/>
      <c r="J64" s="90"/>
      <c r="K64" s="90"/>
      <c r="L64" s="337"/>
      <c r="M64" s="337"/>
      <c r="N64" s="73" t="s">
        <v>77</v>
      </c>
      <c r="O64" s="71">
        <v>1.9735053559149436</v>
      </c>
    </row>
    <row r="65" spans="1:15" ht="15" customHeight="1" x14ac:dyDescent="0.25">
      <c r="A65" s="448" t="s">
        <v>87</v>
      </c>
      <c r="B65" s="3"/>
      <c r="C65" s="41">
        <v>6013</v>
      </c>
      <c r="D65" s="449">
        <v>14</v>
      </c>
      <c r="E65" s="442">
        <v>0</v>
      </c>
      <c r="F65" s="31" t="str">
        <f>IFERROR(VLOOKUP($C65,[20]Nod!$A$3:$E$992,4,FALSE)," ")</f>
        <v>MDN34</v>
      </c>
      <c r="G65" s="31">
        <f>IFERROR(VLOOKUP($C65,[20]Nod!$A$3:$E$992,5,FALSE)," ")</f>
        <v>4</v>
      </c>
      <c r="H65" s="95" t="s">
        <v>97</v>
      </c>
      <c r="I65" s="79"/>
      <c r="J65" s="90">
        <v>6002</v>
      </c>
      <c r="K65" s="75">
        <v>1.3052761995376165</v>
      </c>
      <c r="L65" s="337" t="str">
        <f>VLOOKUP($J65,[21]Nod!$A$3:$E$991,4,FALSE)</f>
        <v>PAN115</v>
      </c>
      <c r="M65" s="337">
        <f>VLOOKUP($J65,[21]Nod!$A$3:$E$991,5,FALSE)</f>
        <v>7</v>
      </c>
      <c r="N65" s="77" t="s">
        <v>208</v>
      </c>
      <c r="O65" s="78">
        <f>+O63+O64</f>
        <v>3.7373405312690422</v>
      </c>
    </row>
    <row r="66" spans="1:15" ht="15" customHeight="1" x14ac:dyDescent="0.25">
      <c r="A66" s="440" t="s">
        <v>92</v>
      </c>
      <c r="B66" s="3"/>
      <c r="C66" s="41">
        <v>6182</v>
      </c>
      <c r="D66" s="441">
        <v>10</v>
      </c>
      <c r="E66" s="442">
        <v>0</v>
      </c>
      <c r="F66" s="31" t="str">
        <f>IFERROR(VLOOKUP($C66,[20]Nod!$A$3:$E$992,4,FALSE)," ")</f>
        <v>VEL230</v>
      </c>
      <c r="G66" s="31">
        <f>IFERROR(VLOOKUP($C66,[20]Nod!$A$3:$E$992,5,FALSE)," ")</f>
        <v>4</v>
      </c>
      <c r="H66" s="95" t="s">
        <v>93</v>
      </c>
      <c r="I66" s="79"/>
      <c r="J66" s="90">
        <v>6002</v>
      </c>
      <c r="K66" s="75">
        <v>1.2148865</v>
      </c>
      <c r="L66" s="337" t="str">
        <f>VLOOKUP($J66,[21]Nod!$A$3:$E$991,4,FALSE)</f>
        <v>PAN115</v>
      </c>
      <c r="M66" s="337">
        <f>VLOOKUP($J66,[21]Nod!$A$3:$E$991,5,FALSE)</f>
        <v>7</v>
      </c>
      <c r="N66"/>
    </row>
    <row r="67" spans="1:15" ht="15" customHeight="1" x14ac:dyDescent="0.25">
      <c r="A67" s="440" t="s">
        <v>94</v>
      </c>
      <c r="B67" s="3"/>
      <c r="C67" s="41">
        <v>6182</v>
      </c>
      <c r="D67" s="441">
        <v>10</v>
      </c>
      <c r="E67" s="442">
        <v>0</v>
      </c>
      <c r="F67" s="31" t="str">
        <f>IFERROR(VLOOKUP($C67,[20]Nod!$A$3:$E$992,4,FALSE)," ")</f>
        <v>VEL230</v>
      </c>
      <c r="G67" s="31">
        <f>IFERROR(VLOOKUP($C67,[20]Nod!$A$3:$E$992,5,FALSE)," ")</f>
        <v>4</v>
      </c>
      <c r="H67" s="95" t="s">
        <v>90</v>
      </c>
      <c r="I67" s="79"/>
      <c r="J67" s="90">
        <v>6002</v>
      </c>
      <c r="K67" s="75">
        <v>0.95012977382276609</v>
      </c>
      <c r="L67" s="337" t="str">
        <f>VLOOKUP($J67,[21]Nod!$A$3:$E$991,4,FALSE)</f>
        <v>PAN115</v>
      </c>
      <c r="M67" s="337">
        <f>VLOOKUP($J67,[21]Nod!$A$3:$E$991,5,FALSE)</f>
        <v>7</v>
      </c>
    </row>
    <row r="68" spans="1:15" ht="15" customHeight="1" x14ac:dyDescent="0.25">
      <c r="A68" s="440" t="s">
        <v>96</v>
      </c>
      <c r="B68" s="3"/>
      <c r="C68" s="41">
        <v>6380</v>
      </c>
      <c r="D68" s="441">
        <v>8.1199999999999992</v>
      </c>
      <c r="E68" s="442">
        <v>0</v>
      </c>
      <c r="F68" s="31" t="str">
        <f>IFERROR(VLOOKUP($C68,[20]Nod!$A$3:$E$992,4,FALSE)," ")</f>
        <v>BOQIII230</v>
      </c>
      <c r="G68" s="31">
        <f>IFERROR(VLOOKUP($C68,[20]Nod!$A$3:$E$992,5,FALSE)," ")</f>
        <v>4</v>
      </c>
      <c r="H68" s="95" t="s">
        <v>99</v>
      </c>
      <c r="I68" s="79"/>
      <c r="J68" s="90">
        <v>6002</v>
      </c>
      <c r="K68" s="75">
        <v>0</v>
      </c>
      <c r="L68" s="337" t="str">
        <f>VLOOKUP($J68,[21]Nod!$A$3:$E$991,4,FALSE)</f>
        <v>PAN115</v>
      </c>
      <c r="M68" s="337">
        <f>VLOOKUP($J68,[21]Nod!$A$3:$E$991,5,FALSE)</f>
        <v>7</v>
      </c>
    </row>
    <row r="69" spans="1:15" ht="15" customHeight="1" x14ac:dyDescent="0.25">
      <c r="A69" s="440" t="s">
        <v>102</v>
      </c>
      <c r="B69" s="3"/>
      <c r="C69" s="41">
        <v>6380</v>
      </c>
      <c r="D69" s="441">
        <v>5.12</v>
      </c>
      <c r="E69" s="442">
        <v>0</v>
      </c>
      <c r="F69" s="31" t="str">
        <f>IFERROR(VLOOKUP($C69,[20]Nod!$A$3:$E$992,4,FALSE)," ")</f>
        <v>BOQIII230</v>
      </c>
      <c r="G69" s="31">
        <f>IFERROR(VLOOKUP($C69,[20]Nod!$A$3:$E$992,5,FALSE)," ")</f>
        <v>4</v>
      </c>
      <c r="H69" s="95" t="s">
        <v>59</v>
      </c>
      <c r="I69" s="79"/>
      <c r="J69" s="90">
        <v>6002</v>
      </c>
      <c r="K69" s="75">
        <v>2.0675530888534572</v>
      </c>
      <c r="L69" s="337" t="str">
        <f>VLOOKUP($J69,[21]Nod!$A$3:$E$991,4,FALSE)</f>
        <v>PAN115</v>
      </c>
      <c r="M69" s="337">
        <f>VLOOKUP($J69,[21]Nod!$A$3:$E$991,5,FALSE)</f>
        <v>7</v>
      </c>
    </row>
    <row r="70" spans="1:15" ht="15" customHeight="1" x14ac:dyDescent="0.25">
      <c r="A70" s="440" t="s">
        <v>320</v>
      </c>
      <c r="B70" s="3"/>
      <c r="C70" s="41">
        <v>6182</v>
      </c>
      <c r="D70" s="441">
        <v>5.86</v>
      </c>
      <c r="E70" s="442">
        <v>0</v>
      </c>
      <c r="F70" s="31" t="str">
        <f>IFERROR(VLOOKUP($C70,[20]Nod!$A$3:$E$992,4,FALSE)," ")</f>
        <v>VEL230</v>
      </c>
      <c r="G70" s="31">
        <f>IFERROR(VLOOKUP($C70,[20]Nod!$A$3:$E$992,5,FALSE)," ")</f>
        <v>4</v>
      </c>
      <c r="H70" s="443" t="s">
        <v>37</v>
      </c>
      <c r="I70" s="444"/>
      <c r="J70" s="446"/>
      <c r="K70" s="446"/>
      <c r="L70" s="337"/>
      <c r="M70" s="337"/>
    </row>
    <row r="71" spans="1:15" ht="15" customHeight="1" x14ac:dyDescent="0.25">
      <c r="A71" s="440" t="s">
        <v>300</v>
      </c>
      <c r="B71" s="22"/>
      <c r="C71" s="57">
        <v>6380</v>
      </c>
      <c r="D71" s="441">
        <v>6.3</v>
      </c>
      <c r="E71" s="466">
        <v>0</v>
      </c>
      <c r="F71" s="31" t="str">
        <f>IFERROR(VLOOKUP($C71,[20]Nod!$A$3:$E$992,4,FALSE)," ")</f>
        <v>BOQIII230</v>
      </c>
      <c r="G71" s="31">
        <f>IFERROR(VLOOKUP($C71,[20]Nod!$A$3:$E$992,5,FALSE)," ")</f>
        <v>4</v>
      </c>
      <c r="H71" s="447">
        <v>8</v>
      </c>
      <c r="I71" s="438"/>
      <c r="J71" s="486"/>
      <c r="K71" s="439">
        <f>SUM(K72:K74)</f>
        <v>1.35</v>
      </c>
      <c r="L71" s="337"/>
      <c r="M71" s="337"/>
    </row>
    <row r="72" spans="1:15" ht="15" customHeight="1" x14ac:dyDescent="0.25">
      <c r="A72" s="440" t="s">
        <v>321</v>
      </c>
      <c r="B72" s="22"/>
      <c r="C72" s="57">
        <v>6013</v>
      </c>
      <c r="D72" s="441">
        <v>8.86</v>
      </c>
      <c r="E72" s="466">
        <v>0</v>
      </c>
      <c r="F72" s="31" t="str">
        <f>IFERROR(VLOOKUP($C72,[20]Nod!$A$3:$E$992,4,FALSE)," ")</f>
        <v>MDN34</v>
      </c>
      <c r="G72" s="31">
        <f>IFERROR(VLOOKUP($C72,[20]Nod!$A$3:$E$992,5,FALSE)," ")</f>
        <v>4</v>
      </c>
      <c r="H72" s="429" t="s">
        <v>77</v>
      </c>
      <c r="I72" s="79"/>
      <c r="J72" s="90"/>
      <c r="K72" s="90"/>
      <c r="L72" s="337"/>
      <c r="M72" s="337"/>
    </row>
    <row r="73" spans="1:15" ht="15" customHeight="1" x14ac:dyDescent="0.25">
      <c r="A73" s="440" t="s">
        <v>322</v>
      </c>
      <c r="B73" s="3"/>
      <c r="C73" s="56">
        <v>6013</v>
      </c>
      <c r="D73" s="441">
        <v>9</v>
      </c>
      <c r="E73" s="442">
        <v>0</v>
      </c>
      <c r="F73" s="31" t="str">
        <f>IFERROR(VLOOKUP($C73,[20]Nod!$A$3:$E$992,4,FALSE)," ")</f>
        <v>MDN34</v>
      </c>
      <c r="G73" s="31">
        <f>IFERROR(VLOOKUP($C73,[20]Nod!$A$3:$E$992,5,FALSE)," ")</f>
        <v>4</v>
      </c>
      <c r="H73" s="468" t="s">
        <v>107</v>
      </c>
      <c r="I73" s="79"/>
      <c r="J73" s="90">
        <v>6100</v>
      </c>
      <c r="K73" s="90">
        <v>1.35</v>
      </c>
      <c r="L73" s="337" t="str">
        <f>VLOOKUP($J73,[21]Nod!$A$3:$E$991,4,FALSE)</f>
        <v>BAY230</v>
      </c>
      <c r="M73" s="337">
        <f>VLOOKUP($J73,[21]Nod!$A$3:$E$991,5,FALSE)</f>
        <v>8</v>
      </c>
    </row>
    <row r="74" spans="1:15" ht="15" customHeight="1" x14ac:dyDescent="0.25">
      <c r="A74" s="448" t="s">
        <v>109</v>
      </c>
      <c r="B74" s="3"/>
      <c r="C74" s="56">
        <v>6520</v>
      </c>
      <c r="D74" s="449">
        <v>19.8</v>
      </c>
      <c r="E74" s="442">
        <v>0</v>
      </c>
      <c r="F74" s="31" t="str">
        <f>IFERROR(VLOOKUP($C74,[20]Nod!$A$3:$E$992,4,FALSE)," ")</f>
        <v>SBA34</v>
      </c>
      <c r="G74" s="31">
        <f>IFERROR(VLOOKUP($C74,[20]Nod!$A$3:$E$992,5,FALSE)," ")</f>
        <v>4</v>
      </c>
      <c r="H74" s="443" t="s">
        <v>37</v>
      </c>
      <c r="I74" s="444"/>
      <c r="J74" s="446"/>
      <c r="K74" s="446"/>
      <c r="L74" s="337"/>
      <c r="M74" s="337"/>
    </row>
    <row r="75" spans="1:15" ht="15" customHeight="1" x14ac:dyDescent="0.25">
      <c r="A75" s="440" t="s">
        <v>113</v>
      </c>
      <c r="B75" s="3"/>
      <c r="C75" s="56">
        <v>6550</v>
      </c>
      <c r="D75" s="441">
        <v>7.62</v>
      </c>
      <c r="E75" s="442">
        <v>0</v>
      </c>
      <c r="F75" s="31" t="str">
        <f>IFERROR(VLOOKUP($C75,[20]Nod!$A$3:$E$992,4,FALSE)," ")</f>
        <v>BEV230</v>
      </c>
      <c r="G75" s="31">
        <f>IFERROR(VLOOKUP($C75,[20]Nod!$A$3:$E$992,5,FALSE)," ")</f>
        <v>4</v>
      </c>
      <c r="H75" s="447">
        <v>9</v>
      </c>
      <c r="I75" s="438"/>
      <c r="J75" s="485"/>
      <c r="K75" s="439">
        <f>SUM(K76:K82)</f>
        <v>157.13</v>
      </c>
      <c r="L75" s="337"/>
      <c r="M75" s="337"/>
    </row>
    <row r="76" spans="1:15" ht="15" customHeight="1" x14ac:dyDescent="0.25">
      <c r="A76" s="440" t="s">
        <v>323</v>
      </c>
      <c r="B76" s="3"/>
      <c r="C76" s="41">
        <v>6380</v>
      </c>
      <c r="D76" s="441">
        <v>10</v>
      </c>
      <c r="E76" s="442">
        <v>0</v>
      </c>
      <c r="F76" s="31" t="str">
        <f>IFERROR(VLOOKUP($C76,[20]Nod!$A$3:$E$992,4,FALSE)," ")</f>
        <v>BOQIII230</v>
      </c>
      <c r="G76" s="31">
        <f>IFERROR(VLOOKUP($C76,[20]Nod!$A$3:$E$992,5,FALSE)," ")</f>
        <v>4</v>
      </c>
      <c r="H76" s="429" t="s">
        <v>77</v>
      </c>
      <c r="I76" s="79"/>
      <c r="J76" s="90"/>
      <c r="K76" s="90"/>
      <c r="L76" s="337"/>
      <c r="M76" s="337"/>
    </row>
    <row r="77" spans="1:15" ht="15" customHeight="1" x14ac:dyDescent="0.25">
      <c r="A77" s="440" t="s">
        <v>324</v>
      </c>
      <c r="B77" s="3"/>
      <c r="C77" s="41">
        <v>6380</v>
      </c>
      <c r="D77" s="441">
        <v>10</v>
      </c>
      <c r="E77" s="442">
        <v>0</v>
      </c>
      <c r="F77" s="31" t="str">
        <f>IFERROR(VLOOKUP($C77,[20]Nod!$A$3:$E$992,4,FALSE)," ")</f>
        <v>BOQIII230</v>
      </c>
      <c r="G77" s="31">
        <f>IFERROR(VLOOKUP($C77,[20]Nod!$A$3:$E$992,5,FALSE)," ")</f>
        <v>4</v>
      </c>
      <c r="H77" s="95" t="s">
        <v>112</v>
      </c>
      <c r="I77" s="79"/>
      <c r="J77" s="90">
        <v>6059</v>
      </c>
      <c r="K77" s="75">
        <v>148.79</v>
      </c>
      <c r="L77" s="337" t="str">
        <f>VLOOKUP($J77,[21]Nod!$A$3:$E$991,4,FALSE)</f>
        <v>LM1115</v>
      </c>
      <c r="M77" s="337">
        <f>VLOOKUP($J77,[21]Nod!$A$3:$E$991,5,FALSE)</f>
        <v>9</v>
      </c>
    </row>
    <row r="78" spans="1:15" ht="15" customHeight="1" x14ac:dyDescent="0.25">
      <c r="A78" s="440" t="s">
        <v>325</v>
      </c>
      <c r="B78" s="3"/>
      <c r="C78" s="41">
        <v>6380</v>
      </c>
      <c r="D78" s="441">
        <v>10</v>
      </c>
      <c r="E78" s="442">
        <v>0</v>
      </c>
      <c r="F78" s="31" t="str">
        <f>IFERROR(VLOOKUP($C78,[20]Nod!$A$3:$E$992,4,FALSE)," ")</f>
        <v>BOQIII230</v>
      </c>
      <c r="G78" s="31">
        <f>IFERROR(VLOOKUP($C78,[20]Nod!$A$3:$E$992,5,FALSE)," ")</f>
        <v>4</v>
      </c>
      <c r="H78" s="429" t="s">
        <v>57</v>
      </c>
      <c r="I78" s="79"/>
      <c r="J78" s="90"/>
      <c r="K78" s="90"/>
      <c r="L78" s="337"/>
      <c r="M78" s="337"/>
    </row>
    <row r="79" spans="1:15" ht="15" customHeight="1" x14ac:dyDescent="0.25">
      <c r="A79" s="440" t="s">
        <v>326</v>
      </c>
      <c r="B79" s="3"/>
      <c r="C79" s="41">
        <v>6380</v>
      </c>
      <c r="D79" s="441">
        <v>10</v>
      </c>
      <c r="E79" s="442">
        <v>0</v>
      </c>
      <c r="F79" s="31" t="str">
        <f>IFERROR(VLOOKUP($C79,[20]Nod!$A$3:$E$992,4,FALSE)," ")</f>
        <v>BOQIII230</v>
      </c>
      <c r="G79" s="31">
        <f>IFERROR(VLOOKUP($C79,[20]Nod!$A$3:$E$992,5,FALSE)," ")</f>
        <v>4</v>
      </c>
      <c r="H79" s="95" t="s">
        <v>115</v>
      </c>
      <c r="I79" s="79"/>
      <c r="J79" s="90">
        <v>6170</v>
      </c>
      <c r="K79" s="75">
        <v>7.25</v>
      </c>
      <c r="L79" s="337" t="str">
        <f>VLOOKUP($J79,[21]Nod!$A$3:$E$991,4,FALSE)</f>
        <v>CPA115</v>
      </c>
      <c r="M79" s="337">
        <f>VLOOKUP($J79,[21]Nod!$A$3:$E$991,5,FALSE)</f>
        <v>9</v>
      </c>
    </row>
    <row r="80" spans="1:15" ht="15" customHeight="1" x14ac:dyDescent="0.25">
      <c r="A80" s="440" t="s">
        <v>327</v>
      </c>
      <c r="B80" s="3"/>
      <c r="C80" s="57">
        <v>6013</v>
      </c>
      <c r="D80" s="441">
        <v>9.9600000000000009</v>
      </c>
      <c r="E80" s="442">
        <v>0</v>
      </c>
      <c r="F80" s="31" t="str">
        <f>IFERROR(VLOOKUP($C80,[20]Nod!$A$3:$E$992,4,FALSE)," ")</f>
        <v>MDN34</v>
      </c>
      <c r="G80" s="31">
        <f>IFERROR(VLOOKUP($C80,[20]Nod!$A$3:$E$992,5,FALSE)," ")</f>
        <v>4</v>
      </c>
      <c r="H80" s="95" t="s">
        <v>59</v>
      </c>
      <c r="I80" s="79"/>
      <c r="J80" s="90">
        <v>6059</v>
      </c>
      <c r="K80" s="75">
        <v>1.0900000000000001</v>
      </c>
      <c r="L80" s="337" t="str">
        <f>VLOOKUP($J80,[21]Nod!$A$3:$E$991,4,FALSE)</f>
        <v>LM1115</v>
      </c>
      <c r="M80" s="337">
        <f>VLOOKUP($J80,[21]Nod!$A$3:$E$991,5,FALSE)</f>
        <v>9</v>
      </c>
    </row>
    <row r="81" spans="1:13" ht="15" customHeight="1" x14ac:dyDescent="0.25">
      <c r="A81" s="440" t="s">
        <v>328</v>
      </c>
      <c r="B81" s="3"/>
      <c r="C81" s="57">
        <v>6013</v>
      </c>
      <c r="D81" s="441">
        <v>9.9600000000000009</v>
      </c>
      <c r="E81" s="442">
        <v>0</v>
      </c>
      <c r="F81" s="31" t="str">
        <f>IFERROR(VLOOKUP($C81,[20]Nod!$A$3:$E$992,4,FALSE)," ")</f>
        <v>MDN34</v>
      </c>
      <c r="G81" s="31">
        <f>IFERROR(VLOOKUP($C81,[20]Nod!$A$3:$E$992,5,FALSE)," ")</f>
        <v>4</v>
      </c>
      <c r="H81" s="95" t="s">
        <v>329</v>
      </c>
      <c r="I81" s="79"/>
      <c r="J81" s="90">
        <v>6173</v>
      </c>
      <c r="K81" s="75">
        <v>0</v>
      </c>
      <c r="L81" s="337" t="str">
        <f>VLOOKUP($J81,[21]Nod!$A$3:$E$991,4,FALSE)</f>
        <v>STR115</v>
      </c>
      <c r="M81" s="337">
        <f>VLOOKUP($J81,[21]Nod!$A$3:$E$991,5,FALSE)</f>
        <v>9</v>
      </c>
    </row>
    <row r="82" spans="1:13" ht="15" customHeight="1" x14ac:dyDescent="0.25">
      <c r="A82" s="448" t="s">
        <v>330</v>
      </c>
      <c r="B82" s="3"/>
      <c r="C82" s="57">
        <v>6013</v>
      </c>
      <c r="D82" s="449"/>
      <c r="E82" s="442">
        <v>0</v>
      </c>
      <c r="F82" s="31" t="str">
        <f>IFERROR(VLOOKUP($C82,[20]Nod!$A$3:$E$992,4,FALSE)," ")</f>
        <v>MDN34</v>
      </c>
      <c r="G82" s="31">
        <f>IFERROR(VLOOKUP($C82,[20]Nod!$A$3:$E$992,5,FALSE)," ")</f>
        <v>4</v>
      </c>
      <c r="H82" s="443" t="s">
        <v>37</v>
      </c>
      <c r="I82" s="444"/>
      <c r="J82" s="446"/>
      <c r="K82" s="446"/>
      <c r="L82" s="337"/>
      <c r="M82" s="337"/>
    </row>
    <row r="83" spans="1:13" ht="15" customHeight="1" x14ac:dyDescent="0.25">
      <c r="A83" s="440" t="s">
        <v>331</v>
      </c>
      <c r="B83" s="3"/>
      <c r="C83" s="57">
        <v>6013</v>
      </c>
      <c r="D83" s="441">
        <v>9.9</v>
      </c>
      <c r="E83" s="442">
        <v>7</v>
      </c>
      <c r="F83" s="31" t="str">
        <f>IFERROR(VLOOKUP($C83,[20]Nod!$A$3:$E$992,4,FALSE)," ")</f>
        <v>MDN34</v>
      </c>
      <c r="G83" s="31">
        <f>IFERROR(VLOOKUP($C83,[20]Nod!$A$3:$E$992,5,FALSE)," ")</f>
        <v>4</v>
      </c>
      <c r="H83" s="453">
        <v>10</v>
      </c>
      <c r="I83" s="454"/>
      <c r="J83" s="484"/>
      <c r="K83" s="456">
        <f>SUM(K84:K87)</f>
        <v>74.984500153045872</v>
      </c>
      <c r="L83" s="337"/>
      <c r="M83" s="337"/>
    </row>
    <row r="84" spans="1:13" ht="15" customHeight="1" x14ac:dyDescent="0.25">
      <c r="A84" s="470" t="s">
        <v>84</v>
      </c>
      <c r="B84" s="3"/>
      <c r="C84" s="41">
        <v>6182</v>
      </c>
      <c r="D84" s="441">
        <v>4.75</v>
      </c>
      <c r="E84" s="442"/>
      <c r="F84" s="31" t="str">
        <f>IFERROR(VLOOKUP($C84,[20]Nod!$A$3:$E$992,4,FALSE)," ")</f>
        <v>VEL230</v>
      </c>
      <c r="G84" s="31">
        <f>IFERROR(VLOOKUP($C84,[20]Nod!$A$3:$E$992,5,FALSE)," ")</f>
        <v>4</v>
      </c>
      <c r="H84" s="429" t="s">
        <v>31</v>
      </c>
      <c r="I84" s="79"/>
      <c r="J84" s="90"/>
      <c r="K84" s="90"/>
      <c r="L84" s="337"/>
      <c r="M84" s="337"/>
    </row>
    <row r="85" spans="1:13" ht="15" customHeight="1" x14ac:dyDescent="0.25">
      <c r="A85" s="440" t="s">
        <v>332</v>
      </c>
      <c r="B85" s="3"/>
      <c r="C85" s="41">
        <v>6182</v>
      </c>
      <c r="D85" s="441"/>
      <c r="E85" s="442"/>
      <c r="F85" s="31" t="str">
        <f>IFERROR(VLOOKUP($C85,[20]Nod!$A$3:$E$992,4,FALSE)," ")</f>
        <v>VEL230</v>
      </c>
      <c r="G85" s="31">
        <f>IFERROR(VLOOKUP($C85,[20]Nod!$A$3:$E$992,5,FALSE)," ")</f>
        <v>4</v>
      </c>
      <c r="H85" s="95" t="s">
        <v>333</v>
      </c>
      <c r="I85" s="79"/>
      <c r="J85" s="90">
        <v>6340</v>
      </c>
      <c r="K85" s="75">
        <v>28.424500153045869</v>
      </c>
      <c r="L85" s="337" t="str">
        <f>VLOOKUP($J85,[21]Nod!$A$3:$E$991,4,FALSE)</f>
        <v>CAN230</v>
      </c>
      <c r="M85" s="337">
        <f>VLOOKUP($J85,[21]Nod!$A$3:$E$991,5,FALSE)</f>
        <v>10</v>
      </c>
    </row>
    <row r="86" spans="1:13" ht="15" customHeight="1" x14ac:dyDescent="0.25">
      <c r="A86" s="440" t="s">
        <v>334</v>
      </c>
      <c r="B86" s="3"/>
      <c r="C86" s="41">
        <v>6182</v>
      </c>
      <c r="D86" s="441"/>
      <c r="E86" s="442"/>
      <c r="F86" s="31" t="str">
        <f>IFERROR(VLOOKUP($C86,[20]Nod!$A$3:$E$992,4,FALSE)," ")</f>
        <v>VEL230</v>
      </c>
      <c r="G86" s="31">
        <f>IFERROR(VLOOKUP($C86,[20]Nod!$A$3:$E$992,5,FALSE)," ")</f>
        <v>4</v>
      </c>
      <c r="H86" s="95" t="s">
        <v>197</v>
      </c>
      <c r="I86" s="79"/>
      <c r="J86" s="90">
        <v>6262</v>
      </c>
      <c r="K86" s="75">
        <v>46.56</v>
      </c>
      <c r="L86" s="337" t="str">
        <f>VLOOKUP($J86,[21]Nod!$A$3:$E$991,4,FALSE)</f>
        <v>CHA34</v>
      </c>
      <c r="M86" s="337">
        <f>VLOOKUP($J86,[21]Nod!$A$3:$E$991,5,FALSE)</f>
        <v>10</v>
      </c>
    </row>
    <row r="87" spans="1:13" ht="15" customHeight="1" x14ac:dyDescent="0.25">
      <c r="A87" s="440" t="s">
        <v>335</v>
      </c>
      <c r="C87" s="41">
        <v>6380</v>
      </c>
      <c r="D87" s="441"/>
      <c r="E87" s="442"/>
      <c r="F87" s="31" t="str">
        <f>IFERROR(VLOOKUP($C87,[20]Nod!$A$3:$E$992,4,FALSE)," ")</f>
        <v>BOQIII230</v>
      </c>
      <c r="G87" s="31">
        <f>IFERROR(VLOOKUP($C87,[20]Nod!$A$3:$E$992,5,FALSE)," ")</f>
        <v>4</v>
      </c>
      <c r="H87" s="443" t="s">
        <v>37</v>
      </c>
      <c r="I87" s="444"/>
      <c r="J87" s="445"/>
      <c r="K87" s="483"/>
      <c r="L87" s="337"/>
      <c r="M87" s="337"/>
    </row>
    <row r="88" spans="1:13" ht="15" customHeight="1" x14ac:dyDescent="0.25">
      <c r="A88" s="440" t="s">
        <v>336</v>
      </c>
      <c r="C88" s="41">
        <v>6380</v>
      </c>
      <c r="D88" s="441"/>
      <c r="E88" s="442"/>
      <c r="F88" s="31" t="str">
        <f>IFERROR(VLOOKUP($C88,[20]Nod!$A$3:$E$992,4,FALSE)," ")</f>
        <v>BOQIII230</v>
      </c>
      <c r="G88" s="31">
        <f>IFERROR(VLOOKUP($C88,[20]Nod!$A$3:$E$992,5,FALSE)," ")</f>
        <v>4</v>
      </c>
      <c r="L88" s="337"/>
      <c r="M88" s="337"/>
    </row>
    <row r="89" spans="1:13" ht="15" customHeight="1" x14ac:dyDescent="0.25">
      <c r="A89" s="440" t="s">
        <v>129</v>
      </c>
      <c r="C89" s="41">
        <v>6380</v>
      </c>
      <c r="D89" s="441"/>
      <c r="E89" s="442"/>
      <c r="F89" s="31" t="str">
        <f>IFERROR(VLOOKUP($C89,[20]Nod!$A$3:$E$992,4,FALSE)," ")</f>
        <v>BOQIII230</v>
      </c>
      <c r="G89" s="31">
        <f>IFERROR(VLOOKUP($C89,[20]Nod!$A$3:$E$992,5,FALSE)," ")</f>
        <v>4</v>
      </c>
      <c r="L89" s="337"/>
      <c r="M89" s="337"/>
    </row>
    <row r="90" spans="1:13" ht="15" customHeight="1" x14ac:dyDescent="0.25">
      <c r="A90" s="440" t="s">
        <v>337</v>
      </c>
      <c r="C90" s="41">
        <v>6013</v>
      </c>
      <c r="D90" s="471"/>
      <c r="E90" s="442"/>
      <c r="F90" s="31" t="str">
        <f>IFERROR(VLOOKUP($C90,[20]Nod!$A$3:$E$992,4,FALSE)," ")</f>
        <v>MDN34</v>
      </c>
      <c r="G90" s="31">
        <f>IFERROR(VLOOKUP($C90,[20]Nod!$A$3:$E$992,5,FALSE)," ")</f>
        <v>4</v>
      </c>
      <c r="L90" s="337"/>
      <c r="M90" s="337"/>
    </row>
    <row r="91" spans="1:13" ht="15" customHeight="1" x14ac:dyDescent="0.2">
      <c r="A91" s="440" t="s">
        <v>338</v>
      </c>
      <c r="C91" s="41">
        <v>6013</v>
      </c>
      <c r="D91" s="469"/>
      <c r="E91" s="442"/>
      <c r="F91" s="31" t="str">
        <f>IFERROR(VLOOKUP($C91,[20]Nod!$A$3:$E$992,4,FALSE)," ")</f>
        <v>MDN34</v>
      </c>
      <c r="G91" s="31">
        <f>IFERROR(VLOOKUP($C91,[20]Nod!$A$3:$E$992,5,FALSE)," ")</f>
        <v>4</v>
      </c>
      <c r="L91" s="337"/>
      <c r="M91" s="337"/>
    </row>
    <row r="92" spans="1:13" ht="15" customHeight="1" x14ac:dyDescent="0.25">
      <c r="A92" s="55" t="s">
        <v>37</v>
      </c>
      <c r="B92" s="43"/>
      <c r="C92" s="44"/>
      <c r="D92" s="44"/>
      <c r="E92" s="461"/>
      <c r="F92" s="31" t="str">
        <f>IFERROR(VLOOKUP($C92,[20]Nod!$A$3:$E$992,4,FALSE)," ")</f>
        <v xml:space="preserve"> </v>
      </c>
      <c r="G92" s="31" t="str">
        <f>IFERROR(VLOOKUP($C92,[20]Nod!$A$3:$E$992,5,FALSE)," ")</f>
        <v xml:space="preserve"> </v>
      </c>
      <c r="L92" s="337"/>
      <c r="M92" s="337"/>
    </row>
    <row r="93" spans="1:13" ht="15" customHeight="1" x14ac:dyDescent="0.25">
      <c r="A93" s="49">
        <v>5</v>
      </c>
      <c r="B93" s="45"/>
      <c r="C93" s="46"/>
      <c r="D93" s="472">
        <f>SUM(D94:D139)</f>
        <v>823.48862099999985</v>
      </c>
      <c r="E93" s="436"/>
      <c r="F93" s="31" t="str">
        <f>IFERROR(VLOOKUP($C93,[20]Nod!$A$3:$E$992,4,FALSE)," ")</f>
        <v xml:space="preserve"> </v>
      </c>
      <c r="G93" s="31" t="str">
        <f>IFERROR(VLOOKUP($C93,[20]Nod!$A$3:$E$992,5,FALSE)," ")</f>
        <v xml:space="preserve"> </v>
      </c>
      <c r="L93" s="337"/>
      <c r="M93" s="337"/>
    </row>
    <row r="94" spans="1:13" ht="15" customHeight="1" x14ac:dyDescent="0.25">
      <c r="A94" s="440" t="s">
        <v>339</v>
      </c>
      <c r="C94" s="59">
        <v>6010</v>
      </c>
      <c r="D94" s="441">
        <v>6.66</v>
      </c>
      <c r="E94" s="442">
        <v>0</v>
      </c>
      <c r="F94" s="31" t="str">
        <f>IFERROR(VLOOKUP($C94,[20]Nod!$A$3:$E$992,4,FALSE)," ")</f>
        <v>LSA34</v>
      </c>
      <c r="G94" s="31">
        <f>IFERROR(VLOOKUP($C94,[20]Nod!$A$3:$E$992,5,FALSE)," ")</f>
        <v>5</v>
      </c>
      <c r="L94" s="337"/>
      <c r="M94" s="337"/>
    </row>
    <row r="95" spans="1:13" ht="15" customHeight="1" x14ac:dyDescent="0.25">
      <c r="A95" s="440" t="s">
        <v>137</v>
      </c>
      <c r="C95" s="59">
        <v>6010</v>
      </c>
      <c r="D95" s="441">
        <v>7</v>
      </c>
      <c r="E95" s="473">
        <v>0</v>
      </c>
      <c r="F95" s="31" t="str">
        <f>IFERROR(VLOOKUP($C95,[20]Nod!$A$3:$E$992,4,FALSE)," ")</f>
        <v>LSA34</v>
      </c>
      <c r="G95" s="31">
        <f>IFERROR(VLOOKUP($C95,[20]Nod!$A$3:$E$992,5,FALSE)," ")</f>
        <v>5</v>
      </c>
      <c r="L95" s="337"/>
      <c r="M95" s="337"/>
    </row>
    <row r="96" spans="1:13" ht="15" customHeight="1" x14ac:dyDescent="0.25">
      <c r="A96" s="459" t="s">
        <v>340</v>
      </c>
      <c r="C96" s="59">
        <v>6010</v>
      </c>
      <c r="D96" s="441">
        <v>55</v>
      </c>
      <c r="E96" s="442">
        <v>0</v>
      </c>
      <c r="F96" s="31" t="str">
        <f>IFERROR(VLOOKUP($C96,[20]Nod!$A$3:$E$992,4,FALSE)," ")</f>
        <v>LSA34</v>
      </c>
      <c r="G96" s="31">
        <f>IFERROR(VLOOKUP($C96,[20]Nod!$A$3:$E$992,5,FALSE)," ")</f>
        <v>5</v>
      </c>
      <c r="L96" s="337"/>
      <c r="M96" s="337"/>
    </row>
    <row r="97" spans="1:13" ht="15" customHeight="1" x14ac:dyDescent="0.25">
      <c r="A97" s="459" t="s">
        <v>341</v>
      </c>
      <c r="C97" s="59">
        <v>6010</v>
      </c>
      <c r="D97" s="441">
        <v>17.5</v>
      </c>
      <c r="E97" s="442">
        <v>0</v>
      </c>
      <c r="F97" s="31" t="str">
        <f>IFERROR(VLOOKUP($C97,[20]Nod!$A$3:$E$992,4,FALSE)," ")</f>
        <v>LSA34</v>
      </c>
      <c r="G97" s="31">
        <f>IFERROR(VLOOKUP($C97,[20]Nod!$A$3:$E$992,5,FALSE)," ")</f>
        <v>5</v>
      </c>
      <c r="L97" s="337"/>
      <c r="M97" s="337"/>
    </row>
    <row r="98" spans="1:13" ht="15" customHeight="1" x14ac:dyDescent="0.25">
      <c r="A98" s="440" t="s">
        <v>342</v>
      </c>
      <c r="C98" s="59">
        <v>6010</v>
      </c>
      <c r="D98" s="441">
        <v>52.5</v>
      </c>
      <c r="E98" s="442">
        <v>0</v>
      </c>
      <c r="F98" s="31" t="str">
        <f>IFERROR(VLOOKUP($C98,[20]Nod!$A$3:$E$992,4,FALSE)," ")</f>
        <v>LSA34</v>
      </c>
      <c r="G98" s="31">
        <f>IFERROR(VLOOKUP($C98,[20]Nod!$A$3:$E$992,5,FALSE)," ")</f>
        <v>5</v>
      </c>
      <c r="L98" s="337"/>
      <c r="M98" s="337"/>
    </row>
    <row r="99" spans="1:13" ht="15" customHeight="1" x14ac:dyDescent="0.25">
      <c r="A99" s="440" t="s">
        <v>343</v>
      </c>
      <c r="C99" s="59">
        <v>6010</v>
      </c>
      <c r="D99" s="441">
        <v>51.75</v>
      </c>
      <c r="E99" s="442">
        <v>0</v>
      </c>
      <c r="F99" s="31" t="str">
        <f>IFERROR(VLOOKUP($C99,[20]Nod!$A$3:$E$992,4,FALSE)," ")</f>
        <v>LSA34</v>
      </c>
      <c r="G99" s="31">
        <f>IFERROR(VLOOKUP($C99,[20]Nod!$A$3:$E$992,5,FALSE)," ")</f>
        <v>5</v>
      </c>
      <c r="L99" s="337"/>
      <c r="M99" s="337"/>
    </row>
    <row r="100" spans="1:13" ht="15" customHeight="1" x14ac:dyDescent="0.25">
      <c r="A100" s="440" t="s">
        <v>344</v>
      </c>
      <c r="C100" s="59">
        <v>6010</v>
      </c>
      <c r="D100" s="441">
        <v>32.5</v>
      </c>
      <c r="E100" s="442">
        <v>0</v>
      </c>
      <c r="F100" s="31" t="str">
        <f>IFERROR(VLOOKUP($C100,[20]Nod!$A$3:$E$992,4,FALSE)," ")</f>
        <v>LSA34</v>
      </c>
      <c r="G100" s="31">
        <f>IFERROR(VLOOKUP($C100,[20]Nod!$A$3:$E$992,5,FALSE)," ")</f>
        <v>5</v>
      </c>
      <c r="L100" s="337"/>
      <c r="M100" s="337"/>
    </row>
    <row r="101" spans="1:13" ht="15" customHeight="1" x14ac:dyDescent="0.25">
      <c r="A101" s="440" t="s">
        <v>345</v>
      </c>
      <c r="C101" s="59">
        <v>6010</v>
      </c>
      <c r="D101" s="441">
        <v>50</v>
      </c>
      <c r="E101" s="442">
        <v>0</v>
      </c>
      <c r="F101" s="31" t="str">
        <f>IFERROR(VLOOKUP($C101,[20]Nod!$A$3:$E$992,4,FALSE)," ")</f>
        <v>LSA34</v>
      </c>
      <c r="G101" s="31">
        <f>IFERROR(VLOOKUP($C101,[20]Nod!$A$3:$E$992,5,FALSE)," ")</f>
        <v>5</v>
      </c>
      <c r="L101" s="337"/>
      <c r="M101" s="337"/>
    </row>
    <row r="102" spans="1:13" ht="15" customHeight="1" x14ac:dyDescent="0.25">
      <c r="A102" s="440" t="s">
        <v>346</v>
      </c>
      <c r="C102" s="59">
        <v>6010</v>
      </c>
      <c r="D102" s="474">
        <f>+'Datos fijos AÑO 1'!D122</f>
        <v>136.978621</v>
      </c>
      <c r="E102" s="442">
        <v>0</v>
      </c>
      <c r="F102" s="31" t="str">
        <f>IFERROR(VLOOKUP($C102,[20]Nod!$A$3:$E$992,4,FALSE)," ")</f>
        <v>LSA34</v>
      </c>
      <c r="G102" s="31">
        <f>IFERROR(VLOOKUP($C102,[20]Nod!$A$3:$E$992,5,FALSE)," ")</f>
        <v>5</v>
      </c>
      <c r="L102" s="337"/>
      <c r="M102" s="337"/>
    </row>
    <row r="103" spans="1:13" ht="15" customHeight="1" x14ac:dyDescent="0.25">
      <c r="A103" s="440" t="s">
        <v>347</v>
      </c>
      <c r="C103" s="59">
        <v>6010</v>
      </c>
      <c r="D103" s="441">
        <v>120</v>
      </c>
      <c r="E103" s="442">
        <v>0</v>
      </c>
      <c r="F103" s="31" t="str">
        <f>IFERROR(VLOOKUP($C103,[20]Nod!$A$3:$E$992,4,FALSE)," ")</f>
        <v>LSA34</v>
      </c>
      <c r="G103" s="31">
        <f>IFERROR(VLOOKUP($C103,[20]Nod!$A$3:$E$992,5,FALSE)," ")</f>
        <v>5</v>
      </c>
      <c r="L103" s="337"/>
      <c r="M103" s="337"/>
    </row>
    <row r="104" spans="1:13" ht="15" customHeight="1" x14ac:dyDescent="0.25">
      <c r="A104" s="440" t="s">
        <v>348</v>
      </c>
      <c r="C104" s="59">
        <v>6010</v>
      </c>
      <c r="D104" s="441">
        <v>66</v>
      </c>
      <c r="E104" s="442">
        <v>0</v>
      </c>
      <c r="F104" s="31" t="str">
        <f>IFERROR(VLOOKUP($C104,[20]Nod!$A$3:$E$992,4,FALSE)," ")</f>
        <v>LSA34</v>
      </c>
      <c r="G104" s="31">
        <f>IFERROR(VLOOKUP($C104,[20]Nod!$A$3:$E$992,5,FALSE)," ")</f>
        <v>5</v>
      </c>
      <c r="L104" s="337"/>
      <c r="M104" s="337"/>
    </row>
    <row r="105" spans="1:13" ht="15" customHeight="1" x14ac:dyDescent="0.25">
      <c r="A105" s="459" t="s">
        <v>349</v>
      </c>
      <c r="C105" s="59">
        <v>6010</v>
      </c>
      <c r="D105" s="441">
        <v>9.99</v>
      </c>
      <c r="E105" s="442">
        <v>0</v>
      </c>
      <c r="F105" s="31" t="str">
        <f>IFERROR(VLOOKUP($C105,[20]Nod!$A$3:$E$992,4,FALSE)," ")</f>
        <v>LSA34</v>
      </c>
      <c r="G105" s="31">
        <f>IFERROR(VLOOKUP($C105,[20]Nod!$A$3:$E$992,5,FALSE)," ")</f>
        <v>5</v>
      </c>
      <c r="L105" s="337"/>
      <c r="M105" s="337"/>
    </row>
    <row r="106" spans="1:13" ht="15" customHeight="1" x14ac:dyDescent="0.25">
      <c r="A106" s="459" t="s">
        <v>350</v>
      </c>
      <c r="C106" s="59">
        <v>6010</v>
      </c>
      <c r="D106" s="441">
        <v>9.99</v>
      </c>
      <c r="E106" s="442">
        <v>0</v>
      </c>
      <c r="F106" s="31" t="str">
        <f>IFERROR(VLOOKUP($C106,[20]Nod!$A$3:$E$992,4,FALSE)," ")</f>
        <v>LSA34</v>
      </c>
      <c r="G106" s="31">
        <f>IFERROR(VLOOKUP($C106,[20]Nod!$A$3:$E$992,5,FALSE)," ")</f>
        <v>5</v>
      </c>
      <c r="L106" s="337"/>
      <c r="M106" s="337"/>
    </row>
    <row r="107" spans="1:13" ht="15" customHeight="1" x14ac:dyDescent="0.25">
      <c r="A107" s="459" t="s">
        <v>351</v>
      </c>
      <c r="C107" s="59">
        <v>6010</v>
      </c>
      <c r="D107" s="475">
        <v>4.8</v>
      </c>
      <c r="E107" s="442">
        <v>0</v>
      </c>
      <c r="F107" s="31" t="str">
        <f>IFERROR(VLOOKUP($C107,[20]Nod!$A$3:$E$992,4,FALSE)," ")</f>
        <v>LSA34</v>
      </c>
      <c r="G107" s="31">
        <f>IFERROR(VLOOKUP($C107,[20]Nod!$A$3:$E$992,5,FALSE)," ")</f>
        <v>5</v>
      </c>
      <c r="L107" s="337"/>
      <c r="M107" s="337"/>
    </row>
    <row r="108" spans="1:13" ht="15" customHeight="1" x14ac:dyDescent="0.25">
      <c r="A108" s="476" t="s">
        <v>352</v>
      </c>
      <c r="C108" s="59">
        <v>6010</v>
      </c>
      <c r="D108" s="477">
        <v>0.96</v>
      </c>
      <c r="E108" s="442">
        <v>0</v>
      </c>
      <c r="F108" s="31" t="str">
        <f>IFERROR(VLOOKUP($C108,[20]Nod!$A$3:$E$992,4,FALSE)," ")</f>
        <v>LSA34</v>
      </c>
      <c r="G108" s="31">
        <f>IFERROR(VLOOKUP($C108,[20]Nod!$A$3:$E$992,5,FALSE)," ")</f>
        <v>5</v>
      </c>
      <c r="K108" s="427"/>
      <c r="L108" s="337"/>
      <c r="M108" s="337"/>
    </row>
    <row r="109" spans="1:13" ht="15" customHeight="1" x14ac:dyDescent="0.25">
      <c r="A109" s="459" t="s">
        <v>353</v>
      </c>
      <c r="C109" s="59">
        <v>6010</v>
      </c>
      <c r="D109" s="441">
        <v>8.5</v>
      </c>
      <c r="E109" s="442">
        <v>0</v>
      </c>
      <c r="F109" s="31" t="str">
        <f>IFERROR(VLOOKUP($C109,[20]Nod!$A$3:$E$992,4,FALSE)," ")</f>
        <v>LSA34</v>
      </c>
      <c r="G109" s="31">
        <f>IFERROR(VLOOKUP($C109,[20]Nod!$A$3:$E$992,5,FALSE)," ")</f>
        <v>5</v>
      </c>
      <c r="K109" s="427"/>
      <c r="L109" s="337"/>
      <c r="M109" s="337"/>
    </row>
    <row r="110" spans="1:13" ht="15" customHeight="1" x14ac:dyDescent="0.25">
      <c r="A110" s="459" t="s">
        <v>354</v>
      </c>
      <c r="C110" s="39">
        <v>6460</v>
      </c>
      <c r="D110" s="441">
        <v>8.5</v>
      </c>
      <c r="E110" s="442">
        <v>0</v>
      </c>
      <c r="F110" s="31" t="str">
        <f>IFERROR(VLOOKUP($C110,[20]Nod!$A$3:$E$992,4,FALSE)," ")</f>
        <v>ECO230</v>
      </c>
      <c r="G110" s="31">
        <f>IFERROR(VLOOKUP($C110,[20]Nod!$A$3:$E$992,5,FALSE)," ")</f>
        <v>5</v>
      </c>
      <c r="K110" s="427"/>
      <c r="L110" s="337"/>
      <c r="M110" s="337"/>
    </row>
    <row r="111" spans="1:13" ht="15" customHeight="1" x14ac:dyDescent="0.25">
      <c r="A111" s="459" t="s">
        <v>355</v>
      </c>
      <c r="C111" s="39">
        <v>6460</v>
      </c>
      <c r="D111" s="441">
        <v>9.52</v>
      </c>
      <c r="E111" s="442">
        <v>0</v>
      </c>
      <c r="F111" s="31" t="str">
        <f>IFERROR(VLOOKUP($C111,[20]Nod!$A$3:$E$992,4,FALSE)," ")</f>
        <v>ECO230</v>
      </c>
      <c r="G111" s="31">
        <f>IFERROR(VLOOKUP($C111,[20]Nod!$A$3:$E$992,5,FALSE)," ")</f>
        <v>5</v>
      </c>
      <c r="K111" s="427"/>
      <c r="L111" s="337"/>
      <c r="M111" s="337"/>
    </row>
    <row r="112" spans="1:13" ht="15" customHeight="1" x14ac:dyDescent="0.25">
      <c r="A112" s="476" t="s">
        <v>356</v>
      </c>
      <c r="C112" s="39">
        <v>6460</v>
      </c>
      <c r="D112" s="449">
        <v>10.78</v>
      </c>
      <c r="E112" s="442">
        <v>0</v>
      </c>
      <c r="F112" s="31" t="str">
        <f>IFERROR(VLOOKUP($C112,[20]Nod!$A$3:$E$992,4,FALSE)," ")</f>
        <v>ECO230</v>
      </c>
      <c r="G112" s="31">
        <f>IFERROR(VLOOKUP($C112,[20]Nod!$A$3:$E$992,5,FALSE)," ")</f>
        <v>5</v>
      </c>
      <c r="K112" s="427"/>
      <c r="L112" s="337"/>
      <c r="M112" s="337"/>
    </row>
    <row r="113" spans="1:13" ht="15" customHeight="1" x14ac:dyDescent="0.25">
      <c r="A113" s="459" t="s">
        <v>357</v>
      </c>
      <c r="C113" s="39">
        <v>6460</v>
      </c>
      <c r="D113" s="441">
        <v>8.5</v>
      </c>
      <c r="E113" s="442">
        <v>0</v>
      </c>
      <c r="F113" s="31" t="str">
        <f>IFERROR(VLOOKUP($C113,[20]Nod!$A$3:$E$992,4,FALSE)," ")</f>
        <v>ECO230</v>
      </c>
      <c r="G113" s="31">
        <f>IFERROR(VLOOKUP($C113,[20]Nod!$A$3:$E$992,5,FALSE)," ")</f>
        <v>5</v>
      </c>
      <c r="K113" s="427"/>
      <c r="L113" s="337"/>
      <c r="M113" s="337"/>
    </row>
    <row r="114" spans="1:13" ht="15" customHeight="1" x14ac:dyDescent="0.25">
      <c r="A114" s="459" t="s">
        <v>358</v>
      </c>
      <c r="C114" s="39">
        <v>6460</v>
      </c>
      <c r="D114" s="441">
        <v>10</v>
      </c>
      <c r="E114" s="442">
        <v>0</v>
      </c>
      <c r="F114" s="31" t="str">
        <f>IFERROR(VLOOKUP($C114,[20]Nod!$A$3:$E$992,4,FALSE)," ")</f>
        <v>ECO230</v>
      </c>
      <c r="G114" s="31">
        <f>IFERROR(VLOOKUP($C114,[20]Nod!$A$3:$E$992,5,FALSE)," ")</f>
        <v>5</v>
      </c>
      <c r="K114" s="427"/>
      <c r="L114" s="337"/>
      <c r="M114" s="337"/>
    </row>
    <row r="115" spans="1:13" ht="15" customHeight="1" x14ac:dyDescent="0.25">
      <c r="A115" s="459" t="s">
        <v>359</v>
      </c>
      <c r="B115" s="61"/>
      <c r="C115" s="62">
        <v>6460</v>
      </c>
      <c r="D115" s="441">
        <v>10</v>
      </c>
      <c r="E115" s="442">
        <v>0</v>
      </c>
      <c r="F115" s="31" t="str">
        <f>IFERROR(VLOOKUP($C115,[20]Nod!$A$3:$E$992,4,FALSE)," ")</f>
        <v>ECO230</v>
      </c>
      <c r="G115" s="31">
        <f>IFERROR(VLOOKUP($C115,[20]Nod!$A$3:$E$992,5,FALSE)," ")</f>
        <v>5</v>
      </c>
      <c r="K115" s="427"/>
      <c r="L115" s="337"/>
      <c r="M115" s="337"/>
    </row>
    <row r="116" spans="1:13" ht="15" customHeight="1" x14ac:dyDescent="0.25">
      <c r="A116" s="476" t="s">
        <v>360</v>
      </c>
      <c r="C116" s="59">
        <v>6010</v>
      </c>
      <c r="D116" s="449">
        <v>16</v>
      </c>
      <c r="E116" s="442">
        <v>0</v>
      </c>
      <c r="F116" s="31" t="str">
        <f>IFERROR(VLOOKUP($C116,[20]Nod!$A$3:$E$992,4,FALSE)," ")</f>
        <v>LSA34</v>
      </c>
      <c r="G116" s="31">
        <f>IFERROR(VLOOKUP($C116,[20]Nod!$A$3:$E$992,5,FALSE)," ")</f>
        <v>5</v>
      </c>
      <c r="K116" s="427"/>
      <c r="L116" s="337"/>
      <c r="M116" s="337"/>
    </row>
    <row r="117" spans="1:13" ht="15" customHeight="1" x14ac:dyDescent="0.25">
      <c r="A117" s="459" t="s">
        <v>361</v>
      </c>
      <c r="C117" s="59">
        <v>6010</v>
      </c>
      <c r="D117" s="441">
        <v>9.9</v>
      </c>
      <c r="E117" s="442">
        <v>0</v>
      </c>
      <c r="F117" s="31" t="str">
        <f>IFERROR(VLOOKUP($C117,[20]Nod!$A$3:$E$992,4,FALSE)," ")</f>
        <v>LSA34</v>
      </c>
      <c r="G117" s="31">
        <f>IFERROR(VLOOKUP($C117,[20]Nod!$A$3:$E$992,5,FALSE)," ")</f>
        <v>5</v>
      </c>
      <c r="K117" s="427"/>
      <c r="L117" s="337"/>
      <c r="M117" s="337"/>
    </row>
    <row r="118" spans="1:13" ht="15" customHeight="1" x14ac:dyDescent="0.25">
      <c r="A118" s="459" t="s">
        <v>362</v>
      </c>
      <c r="C118" s="59">
        <v>6008</v>
      </c>
      <c r="D118" s="441">
        <v>9.9700000000000006</v>
      </c>
      <c r="E118" s="442">
        <v>0</v>
      </c>
      <c r="F118" s="31" t="str">
        <f>IFERROR(VLOOKUP($C118,[20]Nod!$A$3:$E$992,4,FALSE)," ")</f>
        <v>LSA230</v>
      </c>
      <c r="G118" s="31">
        <f>IFERROR(VLOOKUP($C118,[20]Nod!$A$3:$E$992,5,FALSE)," ")</f>
        <v>5</v>
      </c>
      <c r="K118" s="427"/>
      <c r="L118" s="337"/>
      <c r="M118" s="337"/>
    </row>
    <row r="119" spans="1:13" ht="15" customHeight="1" x14ac:dyDescent="0.25">
      <c r="A119" s="459" t="s">
        <v>363</v>
      </c>
      <c r="C119" s="59">
        <v>6010</v>
      </c>
      <c r="D119" s="441">
        <v>9.9700000000000006</v>
      </c>
      <c r="E119" s="442">
        <v>0</v>
      </c>
      <c r="F119" s="31" t="str">
        <f>IFERROR(VLOOKUP($C119,[20]Nod!$A$3:$E$992,4,FALSE)," ")</f>
        <v>LSA34</v>
      </c>
      <c r="G119" s="31">
        <f>IFERROR(VLOOKUP($C119,[20]Nod!$A$3:$E$992,5,FALSE)," ")</f>
        <v>5</v>
      </c>
      <c r="K119" s="427"/>
      <c r="L119" s="337"/>
      <c r="M119" s="337"/>
    </row>
    <row r="120" spans="1:13" ht="15" customHeight="1" x14ac:dyDescent="0.25">
      <c r="A120" s="459" t="s">
        <v>364</v>
      </c>
      <c r="C120" s="63">
        <v>6010</v>
      </c>
      <c r="D120" s="441">
        <v>9.8800000000000008</v>
      </c>
      <c r="E120" s="50">
        <v>0</v>
      </c>
      <c r="F120" s="31" t="str">
        <f>IFERROR(VLOOKUP($C120,[20]Nod!$A$3:$E$992,4,FALSE)," ")</f>
        <v>LSA34</v>
      </c>
      <c r="G120" s="31">
        <f>IFERROR(VLOOKUP($C120,[20]Nod!$A$3:$E$992,5,FALSE)," ")</f>
        <v>5</v>
      </c>
      <c r="K120" s="427"/>
      <c r="L120" s="337"/>
      <c r="M120" s="337"/>
    </row>
    <row r="121" spans="1:13" ht="15" customHeight="1" x14ac:dyDescent="0.25">
      <c r="A121" s="459" t="s">
        <v>365</v>
      </c>
      <c r="C121" s="63">
        <v>6010</v>
      </c>
      <c r="D121" s="441">
        <v>8.0399999999999991</v>
      </c>
      <c r="E121" s="50">
        <v>7</v>
      </c>
      <c r="F121" s="31" t="str">
        <f>IFERROR(VLOOKUP($C121,[20]Nod!$A$3:$E$992,4,FALSE)," ")</f>
        <v>LSA34</v>
      </c>
      <c r="G121" s="31">
        <f>IFERROR(VLOOKUP($C121,[20]Nod!$A$3:$E$992,5,FALSE)," ")</f>
        <v>5</v>
      </c>
      <c r="K121" s="427"/>
      <c r="L121" s="337"/>
      <c r="M121" s="337"/>
    </row>
    <row r="122" spans="1:13" ht="15" customHeight="1" x14ac:dyDescent="0.25">
      <c r="A122" s="459" t="s">
        <v>366</v>
      </c>
      <c r="C122" s="63">
        <v>6010</v>
      </c>
      <c r="D122" s="441">
        <v>7.56</v>
      </c>
      <c r="E122" s="50">
        <v>0</v>
      </c>
      <c r="F122" s="31" t="str">
        <f>IFERROR(VLOOKUP($C122,[20]Nod!$A$3:$E$992,4,FALSE)," ")</f>
        <v>LSA34</v>
      </c>
      <c r="G122" s="31">
        <f>IFERROR(VLOOKUP($C122,[20]Nod!$A$3:$E$992,5,FALSE)," ")</f>
        <v>5</v>
      </c>
      <c r="K122" s="427"/>
      <c r="L122" s="337"/>
      <c r="M122" s="337"/>
    </row>
    <row r="123" spans="1:13" ht="15" customHeight="1" x14ac:dyDescent="0.25">
      <c r="A123" s="459" t="s">
        <v>367</v>
      </c>
      <c r="C123" s="63">
        <v>6010</v>
      </c>
      <c r="D123" s="441">
        <v>9.9</v>
      </c>
      <c r="E123" s="50">
        <v>0</v>
      </c>
      <c r="F123" s="31" t="str">
        <f>IFERROR(VLOOKUP($C123,[20]Nod!$A$3:$E$992,4,FALSE)," ")</f>
        <v>LSA34</v>
      </c>
      <c r="G123" s="31">
        <f>IFERROR(VLOOKUP($C123,[20]Nod!$A$3:$E$992,5,FALSE)," ")</f>
        <v>5</v>
      </c>
      <c r="K123" s="427"/>
      <c r="L123" s="337"/>
      <c r="M123" s="337"/>
    </row>
    <row r="124" spans="1:13" ht="15" customHeight="1" x14ac:dyDescent="0.2">
      <c r="A124" s="459" t="s">
        <v>368</v>
      </c>
      <c r="B124" s="64"/>
      <c r="C124" s="63">
        <v>6010</v>
      </c>
      <c r="D124" s="441">
        <v>9.9499999999999993</v>
      </c>
      <c r="E124" s="50">
        <v>0</v>
      </c>
      <c r="F124" s="31" t="str">
        <f>IFERROR(VLOOKUP($C124,[20]Nod!$A$3:$E$992,4,FALSE)," ")</f>
        <v>LSA34</v>
      </c>
      <c r="G124" s="31">
        <f>IFERROR(VLOOKUP($C124,[20]Nod!$A$3:$E$992,5,FALSE)," ")</f>
        <v>5</v>
      </c>
      <c r="K124" s="427"/>
      <c r="L124" s="337"/>
      <c r="M124" s="337"/>
    </row>
    <row r="125" spans="1:13" ht="15" customHeight="1" x14ac:dyDescent="0.2">
      <c r="A125" s="459" t="s">
        <v>369</v>
      </c>
      <c r="B125" s="64"/>
      <c r="C125" s="63">
        <v>6010</v>
      </c>
      <c r="D125" s="441">
        <v>5.0999999999999996</v>
      </c>
      <c r="E125" s="50">
        <v>0</v>
      </c>
      <c r="F125" s="31" t="str">
        <f>IFERROR(VLOOKUP($C125,[20]Nod!$A$3:$E$992,4,FALSE)," ")</f>
        <v>LSA34</v>
      </c>
      <c r="G125" s="31">
        <f>IFERROR(VLOOKUP($C125,[20]Nod!$A$3:$E$992,5,FALSE)," ")</f>
        <v>5</v>
      </c>
      <c r="K125" s="427"/>
      <c r="L125" s="337"/>
      <c r="M125" s="337"/>
    </row>
    <row r="126" spans="1:13" ht="15" customHeight="1" x14ac:dyDescent="0.2">
      <c r="A126" s="459" t="s">
        <v>370</v>
      </c>
      <c r="B126" s="64"/>
      <c r="C126" s="63">
        <v>6010</v>
      </c>
      <c r="D126" s="441">
        <v>9.99</v>
      </c>
      <c r="E126" s="50">
        <v>0</v>
      </c>
      <c r="F126" s="31" t="str">
        <f>IFERROR(VLOOKUP($C126,[20]Nod!$A$3:$E$992,4,FALSE)," ")</f>
        <v>LSA34</v>
      </c>
      <c r="G126" s="31">
        <f>IFERROR(VLOOKUP($C126,[20]Nod!$A$3:$E$992,5,FALSE)," ")</f>
        <v>5</v>
      </c>
      <c r="K126" s="427"/>
      <c r="L126" s="337"/>
      <c r="M126" s="337"/>
    </row>
    <row r="127" spans="1:13" ht="15" customHeight="1" x14ac:dyDescent="0.2">
      <c r="A127" s="459" t="s">
        <v>371</v>
      </c>
      <c r="B127" s="64"/>
      <c r="C127" s="63">
        <v>6010</v>
      </c>
      <c r="D127" s="441">
        <v>9.9</v>
      </c>
      <c r="E127" s="50">
        <v>0</v>
      </c>
      <c r="F127" s="31" t="str">
        <f>IFERROR(VLOOKUP($C127,[20]Nod!$A$3:$E$992,4,FALSE)," ")</f>
        <v>LSA34</v>
      </c>
      <c r="G127" s="31">
        <f>IFERROR(VLOOKUP($C127,[20]Nod!$A$3:$E$992,5,FALSE)," ")</f>
        <v>5</v>
      </c>
      <c r="K127" s="427"/>
      <c r="L127" s="337"/>
      <c r="M127" s="337"/>
    </row>
    <row r="128" spans="1:13" ht="15" customHeight="1" x14ac:dyDescent="0.2">
      <c r="A128" s="459" t="s">
        <v>372</v>
      </c>
      <c r="B128" s="64"/>
      <c r="C128" s="63">
        <v>6010</v>
      </c>
      <c r="D128" s="441">
        <v>9.9</v>
      </c>
      <c r="E128" s="50">
        <v>0</v>
      </c>
      <c r="F128" s="31" t="str">
        <f>IFERROR(VLOOKUP($C128,[20]Nod!$A$3:$E$992,4,FALSE)," ")</f>
        <v>LSA34</v>
      </c>
      <c r="G128" s="31">
        <f>IFERROR(VLOOKUP($C128,[20]Nod!$A$3:$E$992,5,FALSE)," ")</f>
        <v>5</v>
      </c>
      <c r="K128" s="427"/>
      <c r="L128" s="337"/>
      <c r="M128" s="337"/>
    </row>
    <row r="129" spans="1:13" ht="15" customHeight="1" x14ac:dyDescent="0.2">
      <c r="A129" s="459" t="s">
        <v>373</v>
      </c>
      <c r="B129" s="64"/>
      <c r="C129" s="63">
        <v>6010</v>
      </c>
      <c r="D129" s="441">
        <v>10</v>
      </c>
      <c r="E129" s="50">
        <v>0</v>
      </c>
      <c r="F129" s="31" t="str">
        <f>IFERROR(VLOOKUP($C129,[20]Nod!$A$3:$E$992,4,FALSE)," ")</f>
        <v>LSA34</v>
      </c>
      <c r="G129" s="31">
        <f>IFERROR(VLOOKUP($C129,[20]Nod!$A$3:$E$992,5,FALSE)," ")</f>
        <v>5</v>
      </c>
      <c r="K129" s="427"/>
      <c r="L129" s="337"/>
      <c r="M129" s="337"/>
    </row>
    <row r="130" spans="1:13" ht="15" customHeight="1" x14ac:dyDescent="0.2">
      <c r="A130" s="478" t="s">
        <v>374</v>
      </c>
      <c r="B130" s="64"/>
      <c r="C130" s="63">
        <v>6010</v>
      </c>
      <c r="D130" s="441"/>
      <c r="E130" s="442"/>
      <c r="F130" s="31" t="str">
        <f>IFERROR(VLOOKUP($C130,[20]Nod!$A$3:$E$992,4,FALSE)," ")</f>
        <v>LSA34</v>
      </c>
      <c r="G130" s="31">
        <f>IFERROR(VLOOKUP($C130,[20]Nod!$A$3:$E$992,5,FALSE)," ")</f>
        <v>5</v>
      </c>
      <c r="K130" s="427"/>
      <c r="L130" s="337"/>
      <c r="M130" s="337"/>
    </row>
    <row r="131" spans="1:13" ht="15" customHeight="1" x14ac:dyDescent="0.2">
      <c r="A131" s="479" t="s">
        <v>375</v>
      </c>
      <c r="B131" s="64"/>
      <c r="C131" s="63">
        <v>6010</v>
      </c>
      <c r="D131" s="441"/>
      <c r="E131" s="442"/>
      <c r="F131" s="31" t="str">
        <f>IFERROR(VLOOKUP($C131,[20]Nod!$A$3:$E$992,4,FALSE)," ")</f>
        <v>LSA34</v>
      </c>
      <c r="G131" s="31">
        <f>IFERROR(VLOOKUP($C131,[20]Nod!$A$3:$E$992,5,FALSE)," ")</f>
        <v>5</v>
      </c>
      <c r="K131" s="427"/>
      <c r="L131" s="337"/>
      <c r="M131" s="337"/>
    </row>
    <row r="132" spans="1:13" ht="15" customHeight="1" x14ac:dyDescent="0.2">
      <c r="A132" s="440" t="s">
        <v>376</v>
      </c>
      <c r="B132" s="64"/>
      <c r="C132" s="63">
        <v>6010</v>
      </c>
      <c r="D132" s="441"/>
      <c r="E132" s="41"/>
      <c r="F132" s="31" t="str">
        <f>IFERROR(VLOOKUP($C132,[20]Nod!$A$3:$E$992,4,FALSE)," ")</f>
        <v>LSA34</v>
      </c>
      <c r="G132" s="31">
        <f>IFERROR(VLOOKUP($C132,[20]Nod!$A$3:$E$992,5,FALSE)," ")</f>
        <v>5</v>
      </c>
      <c r="K132" s="427"/>
      <c r="L132" s="337"/>
      <c r="M132" s="337"/>
    </row>
    <row r="133" spans="1:13" ht="15" customHeight="1" x14ac:dyDescent="0.2">
      <c r="A133" s="459" t="s">
        <v>377</v>
      </c>
      <c r="B133" s="64"/>
      <c r="C133" s="63">
        <v>6010</v>
      </c>
      <c r="D133" s="441"/>
      <c r="E133" s="41"/>
      <c r="F133" s="31" t="str">
        <f>IFERROR(VLOOKUP($C133,[20]Nod!$A$3:$E$992,4,FALSE)," ")</f>
        <v>LSA34</v>
      </c>
      <c r="G133" s="31">
        <f>IFERROR(VLOOKUP($C133,[20]Nod!$A$3:$E$992,5,FALSE)," ")</f>
        <v>5</v>
      </c>
      <c r="K133" s="427"/>
      <c r="L133" s="337"/>
      <c r="M133" s="337"/>
    </row>
    <row r="134" spans="1:13" ht="15" customHeight="1" x14ac:dyDescent="0.2">
      <c r="A134" s="440" t="s">
        <v>378</v>
      </c>
      <c r="B134" s="64"/>
      <c r="C134" s="63">
        <v>6010</v>
      </c>
      <c r="D134" s="441"/>
      <c r="E134" s="41"/>
      <c r="F134" s="31" t="str">
        <f>IFERROR(VLOOKUP($C134,[20]Nod!$A$3:$E$992,4,FALSE)," ")</f>
        <v>LSA34</v>
      </c>
      <c r="G134" s="31">
        <f>IFERROR(VLOOKUP($C134,[20]Nod!$A$3:$E$992,5,FALSE)," ")</f>
        <v>5</v>
      </c>
      <c r="K134" s="427"/>
      <c r="L134" s="337"/>
      <c r="M134" s="337"/>
    </row>
    <row r="135" spans="1:13" ht="15" customHeight="1" x14ac:dyDescent="0.2">
      <c r="A135" s="440" t="s">
        <v>379</v>
      </c>
      <c r="B135" s="64"/>
      <c r="C135" s="63">
        <v>6010</v>
      </c>
      <c r="D135" s="441"/>
      <c r="E135" s="41"/>
      <c r="F135" s="31" t="str">
        <f>IFERROR(VLOOKUP($C135,[20]Nod!$A$3:$E$992,4,FALSE)," ")</f>
        <v>LSA34</v>
      </c>
      <c r="G135" s="31">
        <f>IFERROR(VLOOKUP($C135,[20]Nod!$A$3:$E$992,5,FALSE)," ")</f>
        <v>5</v>
      </c>
      <c r="K135" s="427"/>
      <c r="L135" s="337"/>
      <c r="M135" s="337"/>
    </row>
    <row r="136" spans="1:13" ht="15" customHeight="1" x14ac:dyDescent="0.2">
      <c r="A136" s="440" t="s">
        <v>380</v>
      </c>
      <c r="B136" s="64"/>
      <c r="C136" s="63">
        <v>6010</v>
      </c>
      <c r="D136" s="441"/>
      <c r="E136" s="41"/>
      <c r="F136" s="31" t="str">
        <f>IFERROR(VLOOKUP($C136,[20]Nod!$A$3:$E$992,4,FALSE)," ")</f>
        <v>LSA34</v>
      </c>
      <c r="G136" s="31">
        <f>IFERROR(VLOOKUP($C136,[20]Nod!$A$3:$E$992,5,FALSE)," ")</f>
        <v>5</v>
      </c>
      <c r="K136" s="427"/>
      <c r="L136" s="337"/>
      <c r="M136" s="337"/>
    </row>
    <row r="137" spans="1:13" ht="15" customHeight="1" x14ac:dyDescent="0.2">
      <c r="A137" s="440" t="s">
        <v>381</v>
      </c>
      <c r="B137" s="64"/>
      <c r="C137" s="63">
        <v>6010</v>
      </c>
      <c r="D137" s="441"/>
      <c r="E137" s="41"/>
      <c r="F137" s="31" t="str">
        <f>IFERROR(VLOOKUP($C137,[20]Nod!$A$3:$E$992,4,FALSE)," ")</f>
        <v>LSA34</v>
      </c>
      <c r="G137" s="31">
        <f>IFERROR(VLOOKUP($C137,[20]Nod!$A$3:$E$992,5,FALSE)," ")</f>
        <v>5</v>
      </c>
      <c r="K137" s="427"/>
      <c r="L137" s="337"/>
      <c r="M137" s="337"/>
    </row>
    <row r="138" spans="1:13" ht="15" customHeight="1" x14ac:dyDescent="0.2">
      <c r="A138" s="440" t="s">
        <v>382</v>
      </c>
      <c r="B138" s="64"/>
      <c r="C138" s="63">
        <v>6010</v>
      </c>
      <c r="D138" s="441"/>
      <c r="E138" s="41"/>
      <c r="F138" s="31" t="str">
        <f>IFERROR(VLOOKUP($C138,[20]Nod!$A$3:$E$992,4,FALSE)," ")</f>
        <v>LSA34</v>
      </c>
      <c r="G138" s="31">
        <f>IFERROR(VLOOKUP($C138,[20]Nod!$A$3:$E$992,5,FALSE)," ")</f>
        <v>5</v>
      </c>
      <c r="K138" s="427"/>
      <c r="L138" s="337"/>
      <c r="M138" s="337"/>
    </row>
    <row r="139" spans="1:13" ht="15" customHeight="1" x14ac:dyDescent="0.2">
      <c r="A139" s="37"/>
      <c r="B139" s="64"/>
      <c r="C139" s="39"/>
      <c r="D139" s="469"/>
      <c r="E139" s="41"/>
      <c r="F139" s="31" t="str">
        <f>IFERROR(VLOOKUP($C139,[20]Nod!$A$3:$E$992,4,FALSE)," ")</f>
        <v xml:space="preserve"> </v>
      </c>
      <c r="G139" s="31" t="str">
        <f>IFERROR(VLOOKUP($C139,[20]Nod!$A$3:$E$992,5,FALSE)," ")</f>
        <v xml:space="preserve"> </v>
      </c>
      <c r="K139" s="427"/>
      <c r="L139" s="337"/>
      <c r="M139" s="337"/>
    </row>
    <row r="140" spans="1:13" ht="15" customHeight="1" x14ac:dyDescent="0.25">
      <c r="A140" s="49">
        <v>6</v>
      </c>
      <c r="B140" s="45"/>
      <c r="C140" s="46"/>
      <c r="D140" s="47">
        <f>SUM(D141:D146)</f>
        <v>147</v>
      </c>
      <c r="E140" s="436"/>
      <c r="F140" s="31" t="str">
        <f>IFERROR(VLOOKUP($C140,[20]Nod!$A$3:$E$992,4,FALSE)," ")</f>
        <v xml:space="preserve"> </v>
      </c>
      <c r="G140" s="31" t="str">
        <f>IFERROR(VLOOKUP($C140,[20]Nod!$A$3:$E$992,5,FALSE)," ")</f>
        <v xml:space="preserve"> </v>
      </c>
      <c r="K140" s="427"/>
      <c r="L140" s="337"/>
      <c r="M140" s="337"/>
    </row>
    <row r="141" spans="1:13" ht="15" customHeight="1" x14ac:dyDescent="0.25">
      <c r="A141" s="37" t="s">
        <v>179</v>
      </c>
      <c r="B141" s="3"/>
      <c r="C141" s="41">
        <v>6005</v>
      </c>
      <c r="D141" s="50">
        <v>147</v>
      </c>
      <c r="E141" s="442">
        <v>0</v>
      </c>
      <c r="F141" s="31" t="str">
        <f>IFERROR(VLOOKUP($C141,[20]Nod!$A$3:$E$992,4,FALSE)," ")</f>
        <v>CHO230</v>
      </c>
      <c r="G141" s="31">
        <f>IFERROR(VLOOKUP($C141,[20]Nod!$A$3:$E$992,5,FALSE)," ")</f>
        <v>6</v>
      </c>
      <c r="K141" s="427"/>
      <c r="L141" s="337"/>
      <c r="M141" s="337"/>
    </row>
    <row r="142" spans="1:13" ht="15" customHeight="1" x14ac:dyDescent="0.25">
      <c r="A142" s="37" t="s">
        <v>383</v>
      </c>
      <c r="B142" s="3"/>
      <c r="C142" s="56">
        <v>6005</v>
      </c>
      <c r="D142" s="480"/>
      <c r="E142" s="442">
        <v>0</v>
      </c>
      <c r="F142" s="31" t="str">
        <f>IFERROR(VLOOKUP($C142,[20]Nod!$A$3:$E$992,4,FALSE)," ")</f>
        <v>CHO230</v>
      </c>
      <c r="G142" s="31">
        <f>IFERROR(VLOOKUP($C142,[20]Nod!$A$3:$E$992,5,FALSE)," ")</f>
        <v>6</v>
      </c>
      <c r="K142" s="427"/>
      <c r="L142" s="337"/>
      <c r="M142" s="337"/>
    </row>
    <row r="143" spans="1:13" ht="15" customHeight="1" x14ac:dyDescent="0.25">
      <c r="A143" s="37" t="s">
        <v>384</v>
      </c>
      <c r="B143" s="3"/>
      <c r="C143" s="56">
        <v>6005</v>
      </c>
      <c r="D143" s="471"/>
      <c r="E143" s="442">
        <v>0</v>
      </c>
      <c r="F143" s="31" t="str">
        <f>IFERROR(VLOOKUP($C143,[20]Nod!$A$3:$E$992,4,FALSE)," ")</f>
        <v>CHO230</v>
      </c>
      <c r="G143" s="31">
        <f>IFERROR(VLOOKUP($C143,[20]Nod!$A$3:$E$992,5,FALSE)," ")</f>
        <v>6</v>
      </c>
      <c r="K143" s="427"/>
      <c r="L143" s="337"/>
      <c r="M143" s="337"/>
    </row>
    <row r="144" spans="1:13" ht="15" customHeight="1" x14ac:dyDescent="0.25">
      <c r="A144" s="37" t="s">
        <v>385</v>
      </c>
      <c r="B144" s="3"/>
      <c r="C144" s="56">
        <v>6005</v>
      </c>
      <c r="D144" s="471"/>
      <c r="E144" s="442">
        <v>0</v>
      </c>
      <c r="F144" s="31" t="str">
        <f>IFERROR(VLOOKUP($C144,[20]Nod!$A$3:$E$992,4,FALSE)," ")</f>
        <v>CHO230</v>
      </c>
      <c r="G144" s="31">
        <f>IFERROR(VLOOKUP($C144,[20]Nod!$A$3:$E$992,5,FALSE)," ")</f>
        <v>6</v>
      </c>
      <c r="K144" s="427"/>
      <c r="L144" s="337"/>
      <c r="M144" s="337"/>
    </row>
    <row r="145" spans="1:13" ht="15" customHeight="1" x14ac:dyDescent="0.25">
      <c r="A145" s="48" t="s">
        <v>386</v>
      </c>
      <c r="B145" s="3"/>
      <c r="C145" s="56">
        <v>6005</v>
      </c>
      <c r="D145" s="471"/>
      <c r="E145" s="442">
        <v>0</v>
      </c>
      <c r="F145" s="31" t="str">
        <f>IFERROR(VLOOKUP($C145,[20]Nod!$A$3:$E$992,4,FALSE)," ")</f>
        <v>CHO230</v>
      </c>
      <c r="G145" s="31">
        <f>IFERROR(VLOOKUP($C145,[20]Nod!$A$3:$E$992,5,FALSE)," ")</f>
        <v>6</v>
      </c>
      <c r="K145" s="427"/>
      <c r="L145" s="337"/>
      <c r="M145" s="337"/>
    </row>
    <row r="146" spans="1:13" ht="15" customHeight="1" x14ac:dyDescent="0.25">
      <c r="A146" s="42" t="s">
        <v>37</v>
      </c>
      <c r="B146" s="3"/>
      <c r="C146" s="41"/>
      <c r="D146" s="41"/>
      <c r="E146" s="442"/>
      <c r="F146" s="31" t="str">
        <f>IFERROR(VLOOKUP($C146,[20]Nod!$A$3:$E$992,4,FALSE)," ")</f>
        <v xml:space="preserve"> </v>
      </c>
      <c r="G146" s="31" t="str">
        <f>IFERROR(VLOOKUP($C146,[20]Nod!$A$3:$E$992,5,FALSE)," ")</f>
        <v xml:space="preserve"> </v>
      </c>
      <c r="K146" s="427"/>
      <c r="L146" s="337"/>
      <c r="M146" s="337"/>
    </row>
    <row r="147" spans="1:13" ht="15" customHeight="1" x14ac:dyDescent="0.25">
      <c r="A147" s="49">
        <v>7</v>
      </c>
      <c r="B147" s="45"/>
      <c r="C147" s="46"/>
      <c r="D147" s="47">
        <f>SUM(D148:D152)</f>
        <v>159.33000000000001</v>
      </c>
      <c r="E147" s="436"/>
      <c r="F147" s="31" t="str">
        <f>IFERROR(VLOOKUP($C147,[20]Nod!$A$3:$E$992,4,FALSE)," ")</f>
        <v xml:space="preserve"> </v>
      </c>
      <c r="G147" s="31" t="str">
        <f>IFERROR(VLOOKUP($C147,[20]Nod!$A$3:$E$992,5,FALSE)," ")</f>
        <v xml:space="preserve"> </v>
      </c>
      <c r="L147" s="337"/>
      <c r="M147" s="337"/>
    </row>
    <row r="148" spans="1:13" ht="15" customHeight="1" x14ac:dyDescent="0.25">
      <c r="A148" s="440" t="s">
        <v>387</v>
      </c>
      <c r="B148" s="3"/>
      <c r="C148" s="41">
        <v>6018</v>
      </c>
      <c r="D148" s="50">
        <v>97.7</v>
      </c>
      <c r="E148" s="442">
        <v>0</v>
      </c>
      <c r="F148" s="31" t="str">
        <f>IFERROR(VLOOKUP($C148,[20]Nod!$A$3:$E$992,4,FALSE)," ")</f>
        <v>CAC115</v>
      </c>
      <c r="G148" s="31">
        <f>IFERROR(VLOOKUP($C148,[20]Nod!$A$3:$E$992,5,FALSE)," ")</f>
        <v>7</v>
      </c>
      <c r="L148" s="337"/>
      <c r="M148" s="337"/>
    </row>
    <row r="149" spans="1:13" ht="15" customHeight="1" x14ac:dyDescent="0.25">
      <c r="A149" s="440" t="s">
        <v>185</v>
      </c>
      <c r="B149" s="3"/>
      <c r="C149" s="41">
        <v>6171</v>
      </c>
      <c r="D149" s="480">
        <v>53.53</v>
      </c>
      <c r="E149" s="442">
        <v>0</v>
      </c>
      <c r="F149" s="31" t="str">
        <f>IFERROR(VLOOKUP($C149,[20]Nod!$A$3:$E$992,4,FALSE)," ")</f>
        <v>PAC230</v>
      </c>
      <c r="G149" s="31">
        <f>IFERROR(VLOOKUP($C149,[20]Nod!$A$3:$E$992,5,FALSE)," ")</f>
        <v>7</v>
      </c>
      <c r="L149" s="337"/>
      <c r="M149" s="337"/>
    </row>
    <row r="150" spans="1:13" ht="15" customHeight="1" x14ac:dyDescent="0.25">
      <c r="A150" s="440" t="s">
        <v>388</v>
      </c>
      <c r="B150" s="3"/>
      <c r="C150" s="41">
        <v>6002</v>
      </c>
      <c r="D150" s="480">
        <v>8.1</v>
      </c>
      <c r="E150" s="442">
        <v>0</v>
      </c>
      <c r="F150" s="31" t="str">
        <f>IFERROR(VLOOKUP($C150,[20]Nod!$A$3:$E$992,4,FALSE)," ")</f>
        <v>PAN115</v>
      </c>
      <c r="G150" s="31">
        <f>IFERROR(VLOOKUP($C150,[20]Nod!$A$3:$E$992,5,FALSE)," ")</f>
        <v>7</v>
      </c>
      <c r="L150" s="337"/>
      <c r="M150" s="337"/>
    </row>
    <row r="151" spans="1:13" ht="15" customHeight="1" x14ac:dyDescent="0.25">
      <c r="A151" s="459" t="s">
        <v>389</v>
      </c>
      <c r="B151" s="3"/>
      <c r="C151" s="41">
        <v>6018</v>
      </c>
      <c r="D151" s="471"/>
      <c r="E151" s="41"/>
      <c r="F151" s="31" t="str">
        <f>IFERROR(VLOOKUP($C151,[20]Nod!$A$3:$E$992,4,FALSE)," ")</f>
        <v>CAC115</v>
      </c>
      <c r="G151" s="31">
        <f>IFERROR(VLOOKUP($C151,[20]Nod!$A$3:$E$992,5,FALSE)," ")</f>
        <v>7</v>
      </c>
      <c r="L151" s="337"/>
      <c r="M151" s="337"/>
    </row>
    <row r="152" spans="1:13" ht="15" customHeight="1" x14ac:dyDescent="0.25">
      <c r="A152" s="459" t="s">
        <v>390</v>
      </c>
      <c r="B152" s="3"/>
      <c r="C152" s="41">
        <v>6171</v>
      </c>
      <c r="D152" s="471"/>
      <c r="E152" s="41"/>
      <c r="F152" s="31" t="str">
        <f>IFERROR(VLOOKUP($C152,[20]Nod!$A$3:$E$992,4,FALSE)," ")</f>
        <v>PAC230</v>
      </c>
      <c r="G152" s="31">
        <f>IFERROR(VLOOKUP($C152,[20]Nod!$A$3:$E$992,5,FALSE)," ")</f>
        <v>7</v>
      </c>
      <c r="L152" s="337"/>
      <c r="M152" s="337"/>
    </row>
    <row r="153" spans="1:13" ht="15" customHeight="1" x14ac:dyDescent="0.25">
      <c r="A153" s="65"/>
      <c r="B153" s="43"/>
      <c r="C153" s="44"/>
      <c r="D153" s="44"/>
      <c r="E153" s="481"/>
      <c r="F153" s="31" t="str">
        <f>IFERROR(VLOOKUP($C153,[20]Nod!$A$3:$E$992,4,FALSE)," ")</f>
        <v xml:space="preserve"> </v>
      </c>
      <c r="G153" s="31" t="str">
        <f>IFERROR(VLOOKUP($C153,[20]Nod!$A$3:$E$992,5,FALSE)," ")</f>
        <v xml:space="preserve"> </v>
      </c>
      <c r="L153" s="337"/>
      <c r="M153" s="337"/>
    </row>
    <row r="154" spans="1:13" ht="15" customHeight="1" x14ac:dyDescent="0.25">
      <c r="A154" s="36">
        <v>8</v>
      </c>
      <c r="B154" s="66"/>
      <c r="C154" s="35"/>
      <c r="D154" s="76">
        <f>SUM(D155:D156)</f>
        <v>260</v>
      </c>
      <c r="E154" s="463"/>
      <c r="F154" s="31" t="str">
        <f>IFERROR(VLOOKUP($C154,[20]Nod!$A$3:$E$992,4,FALSE)," ")</f>
        <v xml:space="preserve"> </v>
      </c>
      <c r="G154" s="31" t="str">
        <f>IFERROR(VLOOKUP($C154,[20]Nod!$A$3:$E$992,5,FALSE)," ")</f>
        <v xml:space="preserve"> </v>
      </c>
      <c r="L154" s="337"/>
      <c r="M154" s="337"/>
    </row>
    <row r="155" spans="1:13" ht="15" customHeight="1" x14ac:dyDescent="0.25">
      <c r="A155" s="53" t="s">
        <v>189</v>
      </c>
      <c r="B155" s="3"/>
      <c r="C155" s="41">
        <v>6100</v>
      </c>
      <c r="D155" s="50">
        <v>260</v>
      </c>
      <c r="E155" s="442">
        <v>0</v>
      </c>
      <c r="F155" s="31" t="str">
        <f>IFERROR(VLOOKUP($C155,[20]Nod!$A$3:$E$992,4,FALSE)," ")</f>
        <v>BAY230</v>
      </c>
      <c r="G155" s="31">
        <f>IFERROR(VLOOKUP($C155,[20]Nod!$A$3:$E$992,5,FALSE)," ")</f>
        <v>8</v>
      </c>
      <c r="L155" s="337"/>
      <c r="M155" s="337"/>
    </row>
    <row r="156" spans="1:13" ht="15" customHeight="1" x14ac:dyDescent="0.25">
      <c r="A156" s="42" t="s">
        <v>37</v>
      </c>
      <c r="B156" s="43"/>
      <c r="C156" s="44"/>
      <c r="D156" s="54"/>
      <c r="E156" s="461"/>
      <c r="F156" s="31" t="str">
        <f>IFERROR(VLOOKUP($C156,[20]Nod!$A$3:$E$992,4,FALSE)," ")</f>
        <v xml:space="preserve"> </v>
      </c>
      <c r="G156" s="31" t="str">
        <f>IFERROR(VLOOKUP($C156,[20]Nod!$A$3:$E$992,5,FALSE)," ")</f>
        <v xml:space="preserve"> </v>
      </c>
      <c r="L156" s="337"/>
      <c r="M156" s="337"/>
    </row>
    <row r="157" spans="1:13" ht="15" customHeight="1" x14ac:dyDescent="0.25">
      <c r="A157" s="49">
        <v>9</v>
      </c>
      <c r="B157" s="67"/>
      <c r="C157" s="68"/>
      <c r="D157" s="76">
        <f>SUM(D158:D164)</f>
        <v>1410.25</v>
      </c>
      <c r="E157" s="463"/>
      <c r="F157" s="31" t="str">
        <f>IFERROR(VLOOKUP($C157,[20]Nod!$A$3:$E$992,4,FALSE)," ")</f>
        <v xml:space="preserve"> </v>
      </c>
      <c r="G157" s="31" t="str">
        <f>IFERROR(VLOOKUP($C157,[20]Nod!$A$3:$E$992,5,FALSE)," ")</f>
        <v xml:space="preserve"> </v>
      </c>
      <c r="L157" s="337"/>
      <c r="M157" s="337"/>
    </row>
    <row r="158" spans="1:13" ht="15" customHeight="1" x14ac:dyDescent="0.25">
      <c r="A158" s="37" t="s">
        <v>190</v>
      </c>
      <c r="B158" s="3"/>
      <c r="C158" s="41">
        <v>6059</v>
      </c>
      <c r="D158" s="441">
        <v>68</v>
      </c>
      <c r="E158" s="442">
        <v>0</v>
      </c>
      <c r="F158" s="31" t="str">
        <f>IFERROR(VLOOKUP($C158,[20]Nod!$A$3:$E$992,4,FALSE)," ")</f>
        <v>LM1115</v>
      </c>
      <c r="G158" s="31">
        <f>IFERROR(VLOOKUP($C158,[20]Nod!$A$3:$E$992,5,FALSE)," ")</f>
        <v>9</v>
      </c>
      <c r="L158" s="337"/>
      <c r="M158" s="337"/>
    </row>
    <row r="159" spans="1:13" ht="15" customHeight="1" x14ac:dyDescent="0.25">
      <c r="A159" s="37" t="s">
        <v>191</v>
      </c>
      <c r="B159" s="3"/>
      <c r="C159" s="41">
        <v>6059</v>
      </c>
      <c r="D159" s="441">
        <v>87</v>
      </c>
      <c r="E159" s="442">
        <v>0</v>
      </c>
      <c r="F159" s="31" t="str">
        <f>IFERROR(VLOOKUP($C159,[20]Nod!$A$3:$E$992,4,FALSE)," ")</f>
        <v>LM1115</v>
      </c>
      <c r="G159" s="31">
        <f>IFERROR(VLOOKUP($C159,[20]Nod!$A$3:$E$992,5,FALSE)," ")</f>
        <v>9</v>
      </c>
      <c r="L159" s="337"/>
      <c r="M159" s="337"/>
    </row>
    <row r="160" spans="1:13" ht="15" customHeight="1" x14ac:dyDescent="0.25">
      <c r="A160" s="37" t="s">
        <v>192</v>
      </c>
      <c r="B160" s="3"/>
      <c r="C160" s="41">
        <v>6059</v>
      </c>
      <c r="D160" s="441">
        <v>150</v>
      </c>
      <c r="E160" s="442">
        <v>0</v>
      </c>
      <c r="F160" s="31" t="str">
        <f>IFERROR(VLOOKUP($C160,[20]Nod!$A$3:$E$992,4,FALSE)," ")</f>
        <v>LM1115</v>
      </c>
      <c r="G160" s="31">
        <f>IFERROR(VLOOKUP($C160,[20]Nod!$A$3:$E$992,5,FALSE)," ")</f>
        <v>9</v>
      </c>
      <c r="L160" s="337"/>
      <c r="M160" s="337"/>
    </row>
    <row r="161" spans="1:13" ht="15" customHeight="1" x14ac:dyDescent="0.25">
      <c r="A161" s="60" t="s">
        <v>193</v>
      </c>
      <c r="B161" s="3"/>
      <c r="C161" s="41">
        <v>6173</v>
      </c>
      <c r="D161" s="441">
        <v>381</v>
      </c>
      <c r="E161" s="442">
        <v>0</v>
      </c>
      <c r="F161" s="31" t="str">
        <f>IFERROR(VLOOKUP($C161,[20]Nod!$A$3:$E$992,4,FALSE)," ")</f>
        <v>STR115</v>
      </c>
      <c r="G161" s="31">
        <f>IFERROR(VLOOKUP($C161,[20]Nod!$A$3:$E$992,5,FALSE)," ")</f>
        <v>9</v>
      </c>
      <c r="L161" s="337"/>
      <c r="M161" s="337"/>
    </row>
    <row r="162" spans="1:13" ht="15" customHeight="1" x14ac:dyDescent="0.25">
      <c r="A162" s="60" t="s">
        <v>194</v>
      </c>
      <c r="B162" s="3"/>
      <c r="C162" s="41">
        <v>6173</v>
      </c>
      <c r="D162" s="441">
        <v>5.05</v>
      </c>
      <c r="E162" s="442">
        <v>0</v>
      </c>
      <c r="F162" s="31" t="str">
        <f>IFERROR(VLOOKUP($C162,[20]Nod!$A$3:$E$992,4,FALSE)," ")</f>
        <v>STR115</v>
      </c>
      <c r="G162" s="31">
        <f>IFERROR(VLOOKUP($C162,[20]Nod!$A$3:$E$992,5,FALSE)," ")</f>
        <v>9</v>
      </c>
      <c r="L162" s="337"/>
      <c r="M162" s="337"/>
    </row>
    <row r="163" spans="1:13" ht="15" customHeight="1" x14ac:dyDescent="0.25">
      <c r="A163" s="60" t="s">
        <v>391</v>
      </c>
      <c r="B163" s="3"/>
      <c r="C163" s="41">
        <v>6059</v>
      </c>
      <c r="D163" s="441">
        <v>49.2</v>
      </c>
      <c r="E163" s="442">
        <v>0</v>
      </c>
      <c r="F163" s="31" t="str">
        <f>IFERROR(VLOOKUP($C163,[20]Nod!$A$3:$E$992,4,FALSE)," ")</f>
        <v>LM1115</v>
      </c>
      <c r="G163" s="31">
        <f>IFERROR(VLOOKUP($C163,[20]Nod!$A$3:$E$992,5,FALSE)," ")</f>
        <v>9</v>
      </c>
      <c r="L163" s="337"/>
      <c r="M163" s="337"/>
    </row>
    <row r="164" spans="1:13" ht="15" customHeight="1" x14ac:dyDescent="0.2">
      <c r="A164" s="48" t="s">
        <v>392</v>
      </c>
      <c r="B164" s="3"/>
      <c r="C164" s="41">
        <v>6173</v>
      </c>
      <c r="D164" s="482">
        <v>670</v>
      </c>
      <c r="E164" s="442">
        <v>3</v>
      </c>
      <c r="F164" s="31" t="str">
        <f>IFERROR(VLOOKUP($C164,[20]Nod!$A$3:$E$992,4,FALSE)," ")</f>
        <v>STR115</v>
      </c>
      <c r="G164" s="31">
        <f>IFERROR(VLOOKUP($C164,[20]Nod!$A$3:$E$992,5,FALSE)," ")</f>
        <v>9</v>
      </c>
      <c r="L164" s="337"/>
      <c r="M164" s="337"/>
    </row>
    <row r="165" spans="1:13" ht="15" customHeight="1" x14ac:dyDescent="0.25">
      <c r="A165" s="42" t="s">
        <v>37</v>
      </c>
      <c r="B165" s="3"/>
      <c r="C165" s="41"/>
      <c r="D165" s="41"/>
      <c r="E165" s="442"/>
      <c r="F165" s="31" t="str">
        <f>IFERROR(VLOOKUP($C165,[20]Nod!$A$3:$E$992,4,FALSE)," ")</f>
        <v xml:space="preserve"> </v>
      </c>
      <c r="G165" s="31" t="str">
        <f>IFERROR(VLOOKUP($C165,[20]Nod!$A$3:$E$992,5,FALSE)," ")</f>
        <v xml:space="preserve"> </v>
      </c>
      <c r="L165" s="337"/>
      <c r="M165" s="337"/>
    </row>
    <row r="166" spans="1:13" ht="15" customHeight="1" x14ac:dyDescent="0.25">
      <c r="A166" s="49">
        <v>10</v>
      </c>
      <c r="B166" s="67"/>
      <c r="C166" s="69"/>
      <c r="D166" s="47">
        <f>SUM(D167:D168)</f>
        <v>252.17</v>
      </c>
      <c r="E166" s="436"/>
      <c r="F166" s="31" t="str">
        <f>IFERROR(VLOOKUP($C166,[20]Nod!$A$3:$E$992,4,FALSE)," ")</f>
        <v xml:space="preserve"> </v>
      </c>
      <c r="G166" s="31" t="str">
        <f>IFERROR(VLOOKUP($C166,[20]Nod!$A$3:$E$992,5,FALSE)," ")</f>
        <v xml:space="preserve"> </v>
      </c>
      <c r="L166" s="337"/>
      <c r="M166" s="337"/>
    </row>
    <row r="167" spans="1:13" ht="15" customHeight="1" x14ac:dyDescent="0.25">
      <c r="A167" s="37" t="s">
        <v>197</v>
      </c>
      <c r="B167" s="3"/>
      <c r="C167" s="41">
        <v>6263</v>
      </c>
      <c r="D167" s="50">
        <v>222.17</v>
      </c>
      <c r="E167" s="442">
        <v>0</v>
      </c>
      <c r="F167" s="31" t="str">
        <f>IFERROR(VLOOKUP($C167,[20]Nod!$A$3:$E$992,4,FALSE)," ")</f>
        <v>ESP230</v>
      </c>
      <c r="G167" s="31">
        <f>IFERROR(VLOOKUP($C167,[20]Nod!$A$3:$E$992,5,FALSE)," ")</f>
        <v>10</v>
      </c>
      <c r="L167" s="337"/>
      <c r="M167" s="337"/>
    </row>
    <row r="168" spans="1:13" ht="15" customHeight="1" x14ac:dyDescent="0.25">
      <c r="A168" s="37" t="s">
        <v>198</v>
      </c>
      <c r="B168" s="3"/>
      <c r="C168" s="41">
        <v>6261</v>
      </c>
      <c r="D168" s="50">
        <v>30</v>
      </c>
      <c r="E168" s="442">
        <v>0</v>
      </c>
      <c r="F168" s="31" t="str">
        <f>IFERROR(VLOOKUP($C168,[20]Nod!$A$3:$E$992,4,FALSE)," ")</f>
        <v>CHA115</v>
      </c>
      <c r="G168" s="31">
        <f>IFERROR(VLOOKUP($C168,[20]Nod!$A$3:$E$992,5,FALSE)," ")</f>
        <v>10</v>
      </c>
      <c r="L168" s="337"/>
      <c r="M168" s="337"/>
    </row>
    <row r="169" spans="1:13" ht="15" customHeight="1" x14ac:dyDescent="0.25">
      <c r="A169" s="65" t="s">
        <v>37</v>
      </c>
      <c r="B169" s="43"/>
      <c r="C169" s="44"/>
      <c r="D169" s="54"/>
      <c r="E169" s="461"/>
      <c r="F169" s="3"/>
      <c r="G169" s="3"/>
      <c r="L169" s="337"/>
      <c r="M169" s="337"/>
    </row>
    <row r="170" spans="1:13" ht="15" customHeight="1" x14ac:dyDescent="0.25">
      <c r="F170" s="337"/>
      <c r="G170" s="337"/>
      <c r="L170" s="337"/>
      <c r="M170" s="337"/>
    </row>
    <row r="171" spans="1:13" ht="15" customHeight="1" x14ac:dyDescent="0.25">
      <c r="F171" s="337"/>
      <c r="G171" s="337"/>
      <c r="L171" s="337"/>
      <c r="M171" s="337"/>
    </row>
    <row r="172" spans="1:13" ht="15" customHeight="1" x14ac:dyDescent="0.25">
      <c r="F172" s="337"/>
      <c r="G172" s="337"/>
      <c r="L172" s="337"/>
      <c r="M172" s="337"/>
    </row>
    <row r="173" spans="1:13" ht="15" customHeight="1" x14ac:dyDescent="0.25">
      <c r="F173" s="337"/>
      <c r="G173" s="337"/>
      <c r="L173" s="337"/>
      <c r="M173" s="337"/>
    </row>
    <row r="174" spans="1:13" ht="15" customHeight="1" x14ac:dyDescent="0.25">
      <c r="F174" s="337"/>
      <c r="G174" s="337"/>
      <c r="L174" s="337"/>
      <c r="M174" s="337"/>
    </row>
    <row r="175" spans="1:13" ht="15" customHeight="1" x14ac:dyDescent="0.25">
      <c r="F175" s="337"/>
      <c r="G175" s="337"/>
      <c r="L175" s="337"/>
      <c r="M175" s="337"/>
    </row>
    <row r="176" spans="1:13" ht="15" customHeight="1" x14ac:dyDescent="0.25">
      <c r="F176" s="337"/>
      <c r="G176" s="337"/>
      <c r="L176" s="337"/>
      <c r="M176" s="337"/>
    </row>
    <row r="177" spans="6:13" ht="15" customHeight="1" x14ac:dyDescent="0.25">
      <c r="F177" s="337"/>
      <c r="G177" s="337"/>
      <c r="L177" s="337"/>
      <c r="M177" s="337"/>
    </row>
    <row r="178" spans="6:13" ht="15" customHeight="1" x14ac:dyDescent="0.25">
      <c r="F178" s="337"/>
      <c r="G178" s="337"/>
      <c r="L178" s="337"/>
      <c r="M178" s="337"/>
    </row>
    <row r="179" spans="6:13" ht="15" customHeight="1" x14ac:dyDescent="0.25">
      <c r="F179" s="337"/>
      <c r="G179" s="337"/>
      <c r="L179" s="337"/>
      <c r="M179" s="337"/>
    </row>
    <row r="180" spans="6:13" ht="15" customHeight="1" x14ac:dyDescent="0.25">
      <c r="F180" s="337"/>
      <c r="G180" s="337"/>
      <c r="L180" s="337"/>
      <c r="M180" s="337"/>
    </row>
    <row r="181" spans="6:13" ht="15" customHeight="1" x14ac:dyDescent="0.25">
      <c r="F181" s="337"/>
      <c r="G181" s="337"/>
      <c r="L181" s="337"/>
      <c r="M181" s="337"/>
    </row>
    <row r="182" spans="6:13" ht="15" customHeight="1" x14ac:dyDescent="0.25">
      <c r="F182" s="337"/>
      <c r="G182" s="337"/>
      <c r="L182" s="337"/>
      <c r="M182" s="337"/>
    </row>
    <row r="183" spans="6:13" ht="15" customHeight="1" x14ac:dyDescent="0.25">
      <c r="F183" s="337"/>
      <c r="G183" s="337"/>
      <c r="L183" s="337"/>
      <c r="M183" s="337"/>
    </row>
    <row r="184" spans="6:13" ht="15" customHeight="1" x14ac:dyDescent="0.25">
      <c r="F184" s="337"/>
      <c r="G184" s="337"/>
      <c r="L184" s="337"/>
      <c r="M184" s="337"/>
    </row>
    <row r="185" spans="6:13" ht="15" customHeight="1" x14ac:dyDescent="0.25">
      <c r="F185" s="337"/>
      <c r="G185" s="337"/>
      <c r="L185" s="337"/>
      <c r="M185" s="337"/>
    </row>
    <row r="186" spans="6:13" ht="15" customHeight="1" x14ac:dyDescent="0.25">
      <c r="F186" s="337"/>
      <c r="G186" s="337"/>
      <c r="L186" s="337"/>
      <c r="M186" s="337"/>
    </row>
    <row r="187" spans="6:13" ht="15" customHeight="1" x14ac:dyDescent="0.25">
      <c r="F187" s="337"/>
      <c r="G187" s="337"/>
      <c r="L187" s="337"/>
      <c r="M187" s="337"/>
    </row>
    <row r="188" spans="6:13" ht="15" customHeight="1" x14ac:dyDescent="0.25">
      <c r="F188" s="337"/>
      <c r="G188" s="337"/>
      <c r="L188" s="337"/>
      <c r="M188" s="337"/>
    </row>
    <row r="189" spans="6:13" ht="15" customHeight="1" x14ac:dyDescent="0.25">
      <c r="F189" s="337"/>
      <c r="G189" s="337"/>
      <c r="L189" s="337"/>
      <c r="M189" s="337"/>
    </row>
    <row r="190" spans="6:13" ht="15" customHeight="1" x14ac:dyDescent="0.25">
      <c r="F190" s="337"/>
      <c r="G190" s="337"/>
      <c r="L190" s="337"/>
      <c r="M190" s="337"/>
    </row>
    <row r="191" spans="6:13" ht="15" customHeight="1" x14ac:dyDescent="0.25">
      <c r="F191" s="337"/>
      <c r="G191" s="337"/>
      <c r="L191" s="337"/>
      <c r="M191" s="337"/>
    </row>
    <row r="192" spans="6:13" ht="15" customHeight="1" x14ac:dyDescent="0.25">
      <c r="F192" s="337"/>
      <c r="G192" s="337"/>
      <c r="L192" s="337"/>
      <c r="M192" s="337"/>
    </row>
    <row r="193" spans="6:13" ht="15" customHeight="1" x14ac:dyDescent="0.25">
      <c r="F193" s="337"/>
      <c r="G193" s="337"/>
      <c r="L193" s="337"/>
      <c r="M193" s="337"/>
    </row>
    <row r="194" spans="6:13" ht="15" customHeight="1" x14ac:dyDescent="0.25">
      <c r="F194" s="337"/>
      <c r="G194" s="337"/>
      <c r="L194" s="337"/>
      <c r="M194" s="337"/>
    </row>
    <row r="195" spans="6:13" ht="15" customHeight="1" x14ac:dyDescent="0.25">
      <c r="F195" s="337"/>
      <c r="G195" s="337"/>
      <c r="L195" s="337"/>
      <c r="M195" s="337"/>
    </row>
    <row r="196" spans="6:13" ht="15" customHeight="1" x14ac:dyDescent="0.25">
      <c r="L196" s="337"/>
      <c r="M196" s="337"/>
    </row>
    <row r="197" spans="6:13" ht="15" customHeight="1" x14ac:dyDescent="0.25">
      <c r="L197" s="337"/>
      <c r="M197" s="337"/>
    </row>
  </sheetData>
  <mergeCells count="1">
    <mergeCell ref="A9:L9"/>
  </mergeCells>
  <conditionalFormatting sqref="B11:L12">
    <cfRule type="cellIs" dxfId="64" priority="21" operator="equal">
      <formula>0</formula>
    </cfRule>
  </conditionalFormatting>
  <conditionalFormatting sqref="D90">
    <cfRule type="cellIs" dxfId="63" priority="2" operator="equal">
      <formula>0</formula>
    </cfRule>
  </conditionalFormatting>
  <conditionalFormatting sqref="D130:D138">
    <cfRule type="cellIs" dxfId="62" priority="1" operator="equal">
      <formula>0</formula>
    </cfRule>
  </conditionalFormatting>
  <conditionalFormatting sqref="D141:D145">
    <cfRule type="cellIs" dxfId="61" priority="5" operator="equal">
      <formula>0</formula>
    </cfRule>
  </conditionalFormatting>
  <conditionalFormatting sqref="D148:D152">
    <cfRule type="cellIs" dxfId="60" priority="4" operator="equal">
      <formula>0</formula>
    </cfRule>
  </conditionalFormatting>
  <conditionalFormatting sqref="D155:E156">
    <cfRule type="cellIs" dxfId="59" priority="11" operator="equal">
      <formula>0</formula>
    </cfRule>
  </conditionalFormatting>
  <conditionalFormatting sqref="E18:E35">
    <cfRule type="cellIs" dxfId="58" priority="3" operator="equal">
      <formula>0</formula>
    </cfRule>
  </conditionalFormatting>
  <conditionalFormatting sqref="E38:E43 D46:E51 E153 E158:E164 D167:E169">
    <cfRule type="cellIs" dxfId="57" priority="17" operator="equal">
      <formula>0</formula>
    </cfRule>
  </conditionalFormatting>
  <conditionalFormatting sqref="E54:E91 E141:E146">
    <cfRule type="cellIs" dxfId="56" priority="16" operator="equal">
      <formula>0</formula>
    </cfRule>
  </conditionalFormatting>
  <conditionalFormatting sqref="E94:E131">
    <cfRule type="cellIs" dxfId="55" priority="10" operator="equal">
      <formula>0</formula>
    </cfRule>
  </conditionalFormatting>
  <conditionalFormatting sqref="E148:E150">
    <cfRule type="cellIs" dxfId="54" priority="14" operator="equal">
      <formula>0</formula>
    </cfRule>
  </conditionalFormatting>
  <conditionalFormatting sqref="K108:K146">
    <cfRule type="cellIs" dxfId="53" priority="22" operator="equal">
      <formula>0</formula>
    </cfRule>
  </conditionalFormatting>
  <conditionalFormatting sqref="M11:M12">
    <cfRule type="cellIs" dxfId="52" priority="19" stopIfTrue="1" operator="notEqual">
      <formula>L11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5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AF26"/>
  <sheetViews>
    <sheetView showGridLines="0" tabSelected="1" zoomScale="83" zoomScaleNormal="83" workbookViewId="0">
      <selection activeCell="M21" sqref="M21"/>
    </sheetView>
  </sheetViews>
  <sheetFormatPr baseColWidth="10" defaultColWidth="11.42578125" defaultRowHeight="15.75" x14ac:dyDescent="0.25"/>
  <cols>
    <col min="1" max="1" width="15.28515625" style="98" customWidth="1"/>
    <col min="2" max="2" width="12.140625" style="98" customWidth="1"/>
    <col min="3" max="12" width="14.28515625" style="98" customWidth="1"/>
    <col min="13" max="13" width="15.85546875" style="126" bestFit="1" customWidth="1"/>
    <col min="14" max="15" width="15.85546875" style="98" bestFit="1" customWidth="1"/>
    <col min="16" max="16" width="9" style="98" customWidth="1"/>
    <col min="17" max="17" width="15.140625" style="98" customWidth="1"/>
    <col min="18" max="18" width="11.42578125" style="98"/>
    <col min="19" max="19" width="13.42578125" style="98" customWidth="1"/>
    <col min="20" max="20" width="13.7109375" style="98" customWidth="1"/>
    <col min="21" max="21" width="11.5703125" style="98" bestFit="1" customWidth="1"/>
    <col min="22" max="22" width="11.85546875" style="98" bestFit="1" customWidth="1"/>
    <col min="23" max="24" width="13.42578125" style="98" bestFit="1" customWidth="1"/>
    <col min="25" max="26" width="11.5703125" style="98" bestFit="1" customWidth="1"/>
    <col min="27" max="27" width="11.85546875" style="98" bestFit="1" customWidth="1"/>
    <col min="28" max="28" width="11.5703125" style="98" bestFit="1" customWidth="1"/>
    <col min="29" max="29" width="12.85546875" style="98" bestFit="1" customWidth="1"/>
    <col min="30" max="30" width="15.85546875" style="98" customWidth="1"/>
    <col min="31" max="16384" width="11.42578125" style="98"/>
  </cols>
  <sheetData>
    <row r="2" spans="1:32" ht="25.5" customHeight="1" x14ac:dyDescent="0.25">
      <c r="A2" s="498" t="s">
        <v>223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97"/>
    </row>
    <row r="3" spans="1:32" x14ac:dyDescent="0.25">
      <c r="A3" s="498" t="s">
        <v>213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97"/>
    </row>
    <row r="4" spans="1:32" s="100" customFormat="1" ht="21.75" customHeight="1" x14ac:dyDescent="0.25">
      <c r="A4" s="498" t="s">
        <v>214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99"/>
    </row>
    <row r="5" spans="1:32" x14ac:dyDescent="0.25">
      <c r="A5" s="498" t="s">
        <v>215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97"/>
    </row>
    <row r="6" spans="1:32" ht="21" customHeight="1" thickBot="1" x14ac:dyDescent="0.3">
      <c r="A6" s="101" t="s">
        <v>216</v>
      </c>
      <c r="B6" s="102"/>
      <c r="C6" s="102">
        <v>1</v>
      </c>
      <c r="D6" s="102">
        <v>2</v>
      </c>
      <c r="E6" s="102">
        <v>3</v>
      </c>
      <c r="F6" s="102">
        <v>4</v>
      </c>
      <c r="G6" s="102">
        <v>5</v>
      </c>
      <c r="H6" s="102">
        <v>6</v>
      </c>
      <c r="I6" s="102">
        <v>7</v>
      </c>
      <c r="J6" s="102">
        <v>8</v>
      </c>
      <c r="K6" s="102">
        <v>9</v>
      </c>
      <c r="L6" s="102">
        <v>10</v>
      </c>
      <c r="M6" s="102" t="s">
        <v>21</v>
      </c>
      <c r="N6" s="103"/>
    </row>
    <row r="7" spans="1:32" ht="20.25" customHeight="1" thickTop="1" thickBot="1" x14ac:dyDescent="0.4">
      <c r="A7" s="104" t="s">
        <v>217</v>
      </c>
      <c r="B7" s="104" t="s">
        <v>218</v>
      </c>
      <c r="C7" s="105">
        <f>'CUSPT AÑO 1 '!B54+'CUSPT AÑO 1 '!B57</f>
        <v>3241.253542157051</v>
      </c>
      <c r="D7" s="105">
        <f>'CUSPT AÑO 1 '!C54+'CUSPT AÑO 1 '!C57</f>
        <v>11143.798800069397</v>
      </c>
      <c r="E7" s="105">
        <f>'CUSPT AÑO 1 '!D54+'CUSPT AÑO 1 '!D57</f>
        <v>2431.8854333168611</v>
      </c>
      <c r="F7" s="105">
        <f>'CUSPT AÑO 1 '!E54+'CUSPT AÑO 1 '!E57</f>
        <v>6023.6751136523126</v>
      </c>
      <c r="G7" s="105">
        <f>'CUSPT AÑO 1 '!F54+'CUSPT AÑO 1 '!F57</f>
        <v>2777.5474386389119</v>
      </c>
      <c r="H7" s="105">
        <f>'CUSPT AÑO 1 '!G54+'CUSPT AÑO 1 '!G57</f>
        <v>1259.7450358354533</v>
      </c>
      <c r="I7" s="105">
        <f>'CUSPT AÑO 1 '!H54+'CUSPT AÑO 1 '!H57</f>
        <v>797.30415132433632</v>
      </c>
      <c r="J7" s="105">
        <f>'CUSPT AÑO 1 '!I54+'CUSPT AÑO 1 '!I57</f>
        <v>2520.9090284355029</v>
      </c>
      <c r="K7" s="105">
        <f>'CUSPT AÑO 1 '!J54+'CUSPT AÑO 1 '!J57</f>
        <v>6465.5459015617844</v>
      </c>
      <c r="L7" s="105">
        <f>'CUSPT AÑO 1 '!K54+'CUSPT AÑO 1 '!K57</f>
        <v>5135.44254367339</v>
      </c>
      <c r="M7" s="105">
        <f>SUM(C7:L7)</f>
        <v>41797.106988665</v>
      </c>
      <c r="N7" s="103"/>
      <c r="O7" s="497" t="s">
        <v>224</v>
      </c>
      <c r="P7" s="497"/>
      <c r="Q7" s="497"/>
      <c r="R7" s="497"/>
    </row>
    <row r="8" spans="1:32" ht="18.75" customHeight="1" thickTop="1" thickBot="1" x14ac:dyDescent="0.3">
      <c r="A8" s="106" t="s">
        <v>199</v>
      </c>
      <c r="B8" s="107" t="s">
        <v>218</v>
      </c>
      <c r="C8" s="108">
        <f>'CUSPT AÑO 2'!B54+'CUSPT AÑO 2'!B57</f>
        <v>3316.7961368117258</v>
      </c>
      <c r="D8" s="108">
        <f>'CUSPT AÑO 2'!C54+'CUSPT AÑO 2'!C57</f>
        <v>9579.2366254356602</v>
      </c>
      <c r="E8" s="108">
        <f>'CUSPT AÑO 2'!D54+'CUSPT AÑO 2'!D57</f>
        <v>2665.7725783193523</v>
      </c>
      <c r="F8" s="108">
        <f>'CUSPT AÑO 2'!E54+'CUSPT AÑO 2'!E57</f>
        <v>6418.7099698335351</v>
      </c>
      <c r="G8" s="108">
        <f>'CUSPT AÑO 2'!F54+'CUSPT AÑO 2'!F57</f>
        <v>4331.0472226946295</v>
      </c>
      <c r="H8" s="108">
        <f>'CUSPT AÑO 2'!G54+'CUSPT AÑO 2'!G57</f>
        <v>992.81899514851057</v>
      </c>
      <c r="I8" s="108">
        <f>'CUSPT AÑO 2'!H54+'CUSPT AÑO 2'!H57</f>
        <v>788.77358715083858</v>
      </c>
      <c r="J8" s="108">
        <f>'CUSPT AÑO 2'!I54+'CUSPT AÑO 2'!I57</f>
        <v>2181.5954707747505</v>
      </c>
      <c r="K8" s="108">
        <f>'CUSPT AÑO 2'!J54+'CUSPT AÑO 2'!J57</f>
        <v>5269.5231323102844</v>
      </c>
      <c r="L8" s="108">
        <f>'CUSPT AÑO 2'!K54+'CUSPT AÑO 2'!K57</f>
        <v>5402.4008613070018</v>
      </c>
      <c r="M8" s="108">
        <f>SUM(C8:L8)</f>
        <v>40946.67457978629</v>
      </c>
      <c r="N8" s="103"/>
      <c r="O8" s="497"/>
      <c r="P8" s="497"/>
      <c r="Q8" s="497"/>
      <c r="R8" s="497"/>
    </row>
    <row r="9" spans="1:32" ht="18.75" customHeight="1" thickTop="1" thickBot="1" x14ac:dyDescent="0.3">
      <c r="A9" s="106" t="s">
        <v>200</v>
      </c>
      <c r="B9" s="107" t="s">
        <v>218</v>
      </c>
      <c r="C9" s="108">
        <f>'CUSPT AÑO 3'!B54+'CUSPT AÑO 3'!B57</f>
        <v>3628.7470464385524</v>
      </c>
      <c r="D9" s="108">
        <f>'CUSPT AÑO 3'!C54+'CUSPT AÑO 3'!C57</f>
        <v>8252.7771570081259</v>
      </c>
      <c r="E9" s="108">
        <f>'CUSPT AÑO 3'!D54+'CUSPT AÑO 3'!D57</f>
        <v>2667.4331760432042</v>
      </c>
      <c r="F9" s="108">
        <f>'CUSPT AÑO 3'!E54+'CUSPT AÑO 3'!E57</f>
        <v>6299.9867015874934</v>
      </c>
      <c r="G9" s="108">
        <f>'CUSPT AÑO 3'!F54+'CUSPT AÑO 3'!F57</f>
        <v>5796.7466601411261</v>
      </c>
      <c r="H9" s="108">
        <f>'CUSPT AÑO 3'!G54+'CUSPT AÑO 3'!G57</f>
        <v>808.63915791309944</v>
      </c>
      <c r="I9" s="108">
        <f>'CUSPT AÑO 3'!H54+'CUSPT AÑO 3'!H57</f>
        <v>824.23705393921648</v>
      </c>
      <c r="J9" s="108">
        <f>'CUSPT AÑO 3'!I54+'CUSPT AÑO 3'!I57</f>
        <v>1503.4058166796449</v>
      </c>
      <c r="K9" s="108">
        <f>'CUSPT AÑO 3'!J54+'CUSPT AÑO 3'!J57</f>
        <v>4494.1076819615882</v>
      </c>
      <c r="L9" s="108">
        <f>'CUSPT AÑO 3'!K54+'CUSPT AÑO 3'!K57</f>
        <v>5783.4117191955274</v>
      </c>
      <c r="M9" s="108">
        <f>SUM(C9:L9)</f>
        <v>40059.492170907579</v>
      </c>
      <c r="N9" s="103"/>
      <c r="O9" s="497"/>
      <c r="P9" s="497"/>
      <c r="Q9" s="497"/>
      <c r="R9" s="497"/>
    </row>
    <row r="10" spans="1:32" s="100" customFormat="1" ht="17.25" thickTop="1" thickBot="1" x14ac:dyDescent="0.3">
      <c r="A10" s="106" t="s">
        <v>201</v>
      </c>
      <c r="B10" s="107" t="s">
        <v>218</v>
      </c>
      <c r="C10" s="108">
        <f>'CUSPT AÑO 4  '!B54+'CUSPT AÑO 4  '!B57</f>
        <v>4108.481233537651</v>
      </c>
      <c r="D10" s="108">
        <f>'CUSPT AÑO 4  '!C54+'CUSPT AÑO 4  '!C57</f>
        <v>6680.1054897864597</v>
      </c>
      <c r="E10" s="108">
        <f>'CUSPT AÑO 4  '!D54+'CUSPT AÑO 4  '!D57</f>
        <v>2880.6183248126799</v>
      </c>
      <c r="F10" s="108">
        <f>'CUSPT AÑO 4  '!E54+'CUSPT AÑO 4  '!E57</f>
        <v>5569.4029834403536</v>
      </c>
      <c r="G10" s="108">
        <f>'CUSPT AÑO 4  '!F54+'CUSPT AÑO 4  '!F57</f>
        <v>5615.189197098518</v>
      </c>
      <c r="H10" s="108">
        <f>'CUSPT AÑO 4  '!G54+'CUSPT AÑO 4  '!G57</f>
        <v>1224.8998357378039</v>
      </c>
      <c r="I10" s="108">
        <f>'CUSPT AÑO 4  '!H54+'CUSPT AÑO 4  '!H57</f>
        <v>876.3374079945022</v>
      </c>
      <c r="J10" s="108">
        <f>'CUSPT AÑO 4  '!I54+'CUSPT AÑO 4  '!I57</f>
        <v>1487.9732598680721</v>
      </c>
      <c r="K10" s="108">
        <f>'CUSPT AÑO 4  '!J54+'CUSPT AÑO 4  '!J57</f>
        <v>7245.6527448474681</v>
      </c>
      <c r="L10" s="108">
        <f>'CUSPT AÑO 4  '!K54+'CUSPT AÑO 4  '!K57</f>
        <v>3446.8992849052893</v>
      </c>
      <c r="M10" s="108">
        <f>SUM(C10:L10)</f>
        <v>39135.559762028795</v>
      </c>
      <c r="N10" s="99"/>
      <c r="O10" s="497"/>
      <c r="P10" s="497"/>
      <c r="Q10" s="497"/>
      <c r="R10" s="497"/>
    </row>
    <row r="11" spans="1:32" s="100" customFormat="1" ht="16.5" thickTop="1" x14ac:dyDescent="0.25">
      <c r="A11" s="109"/>
      <c r="B11" s="110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2"/>
      <c r="N11" s="99"/>
      <c r="O11" s="497"/>
      <c r="P11" s="497"/>
      <c r="Q11" s="497"/>
      <c r="R11" s="497"/>
    </row>
    <row r="12" spans="1:32" x14ac:dyDescent="0.25">
      <c r="A12" s="498" t="s">
        <v>219</v>
      </c>
      <c r="B12" s="498"/>
      <c r="C12" s="498"/>
      <c r="D12" s="498"/>
      <c r="E12" s="498"/>
      <c r="F12" s="498"/>
      <c r="G12" s="498"/>
      <c r="H12" s="498"/>
      <c r="I12" s="498"/>
      <c r="J12" s="498"/>
      <c r="K12" s="498"/>
      <c r="L12" s="498"/>
      <c r="M12" s="498"/>
      <c r="N12" s="97"/>
      <c r="O12" s="497"/>
      <c r="P12" s="497"/>
      <c r="Q12" s="497"/>
      <c r="R12" s="497"/>
    </row>
    <row r="13" spans="1:32" ht="16.5" thickBot="1" x14ac:dyDescent="0.3">
      <c r="A13" s="101" t="s">
        <v>216</v>
      </c>
      <c r="B13" s="102"/>
      <c r="C13" s="102">
        <v>1</v>
      </c>
      <c r="D13" s="102">
        <v>2</v>
      </c>
      <c r="E13" s="102">
        <v>3</v>
      </c>
      <c r="F13" s="102">
        <v>4</v>
      </c>
      <c r="G13" s="102">
        <v>5</v>
      </c>
      <c r="H13" s="102">
        <v>6</v>
      </c>
      <c r="I13" s="102">
        <v>7</v>
      </c>
      <c r="J13" s="102">
        <v>8</v>
      </c>
      <c r="K13" s="102">
        <v>9</v>
      </c>
      <c r="L13" s="102">
        <v>10</v>
      </c>
      <c r="M13" s="102" t="s">
        <v>21</v>
      </c>
      <c r="N13" s="103"/>
      <c r="O13" s="497"/>
      <c r="P13" s="497"/>
      <c r="Q13" s="497"/>
      <c r="R13" s="497"/>
    </row>
    <row r="14" spans="1:32" ht="21" thickTop="1" thickBot="1" x14ac:dyDescent="0.4">
      <c r="A14" s="104" t="s">
        <v>217</v>
      </c>
      <c r="B14" s="104" t="s">
        <v>220</v>
      </c>
      <c r="C14" s="105">
        <f>'Datos fijos AÑO 1'!D17</f>
        <v>212.7946</v>
      </c>
      <c r="D14" s="105">
        <f>'Datos fijos AÑO 1'!D37</f>
        <v>537.79999999999995</v>
      </c>
      <c r="E14" s="105">
        <f>'Datos fijos AÑO 1'!D45</f>
        <v>155.26999999999998</v>
      </c>
      <c r="F14" s="105">
        <f>'Datos fijos AÑO 1'!D53</f>
        <v>343.2</v>
      </c>
      <c r="G14" s="105">
        <f>'Datos fijos AÑO 1'!D97</f>
        <v>150.638621</v>
      </c>
      <c r="H14" s="105">
        <f>'Datos fijos AÑO 1'!D146</f>
        <v>151.30000000000001</v>
      </c>
      <c r="I14" s="105">
        <f>'Datos fijos AÑO 1'!D153</f>
        <v>159.33000000000001</v>
      </c>
      <c r="J14" s="105">
        <f>'Datos fijos AÑO 1'!D160</f>
        <v>260</v>
      </c>
      <c r="K14" s="105">
        <f>'Datos fijos AÑO 1'!D163</f>
        <v>740.45</v>
      </c>
      <c r="L14" s="105">
        <f>'Datos fijos AÑO 1'!D172</f>
        <v>252.17</v>
      </c>
      <c r="M14" s="105">
        <f>SUM(C14:L14)</f>
        <v>2962.9532209999998</v>
      </c>
      <c r="N14" s="103"/>
    </row>
    <row r="15" spans="1:32" ht="17.25" thickTop="1" thickBot="1" x14ac:dyDescent="0.3">
      <c r="A15" s="106" t="s">
        <v>199</v>
      </c>
      <c r="B15" s="107" t="s">
        <v>220</v>
      </c>
      <c r="C15" s="108">
        <f>'Datos fijos AÑO 2'!D17</f>
        <v>294.17</v>
      </c>
      <c r="D15" s="108">
        <f>'Datos fijos AÑO 2'!D37</f>
        <v>428.69</v>
      </c>
      <c r="E15" s="108">
        <f>'Datos fijos AÑO 2'!D45</f>
        <v>152.99</v>
      </c>
      <c r="F15" s="121">
        <f>'Datos fijos AÑO 2'!D53</f>
        <v>408.96000000000004</v>
      </c>
      <c r="G15" s="121">
        <f>'Datos fijos AÑO 2'!D93</f>
        <v>770.5586209999999</v>
      </c>
      <c r="H15" s="121">
        <f>'Datos fijos AÑO 2'!D140</f>
        <v>147</v>
      </c>
      <c r="I15" s="121">
        <f>'Datos fijos AÑO 2'!D147</f>
        <v>159.33000000000001</v>
      </c>
      <c r="J15" s="108">
        <f>'Datos fijos AÑO 2'!D154</f>
        <v>260</v>
      </c>
      <c r="K15" s="108">
        <f>'Datos fijos AÑO 2'!D157</f>
        <v>740.25</v>
      </c>
      <c r="L15" s="108">
        <f>'Datos fijos AÑO 2'!D166</f>
        <v>252.17</v>
      </c>
      <c r="M15" s="108">
        <f>SUM(C15:L15)</f>
        <v>3614.1186209999996</v>
      </c>
      <c r="N15" s="103"/>
      <c r="AF15" s="113"/>
    </row>
    <row r="16" spans="1:32" ht="18.75" customHeight="1" thickTop="1" thickBot="1" x14ac:dyDescent="0.3">
      <c r="A16" s="106" t="s">
        <v>200</v>
      </c>
      <c r="B16" s="107" t="s">
        <v>220</v>
      </c>
      <c r="C16" s="108">
        <f>'Datos fijos AÑO 3'!D17</f>
        <v>320.07000000000005</v>
      </c>
      <c r="D16" s="108">
        <f>'Datos fijos AÑO 3'!D37</f>
        <v>548.69000000000005</v>
      </c>
      <c r="E16" s="108">
        <f>'Datos fijos AÑO 3'!D45</f>
        <v>154.74</v>
      </c>
      <c r="F16" s="108">
        <f>'Datos fijos AÑO 3'!D53</f>
        <v>410.53000000000003</v>
      </c>
      <c r="G16" s="108">
        <f>'Datos fijos AÑO 3'!D93</f>
        <v>815.44862099999989</v>
      </c>
      <c r="H16" s="108">
        <f>'Datos fijos AÑO 3'!D140</f>
        <v>147</v>
      </c>
      <c r="I16" s="108">
        <f>'Datos fijos AÑO 3'!D147</f>
        <v>159.33000000000001</v>
      </c>
      <c r="J16" s="108">
        <f>'Datos fijos AÑO 3'!D154</f>
        <v>260</v>
      </c>
      <c r="K16" s="108">
        <f>'Datos fijos AÑO 3'!D157</f>
        <v>740.25</v>
      </c>
      <c r="L16" s="108">
        <f>'Datos fijos AÑO 3'!D166</f>
        <v>252.17</v>
      </c>
      <c r="M16" s="108">
        <f>SUM(C16:L16)</f>
        <v>3808.2286210000002</v>
      </c>
      <c r="N16" s="103"/>
    </row>
    <row r="17" spans="1:22" ht="20.25" customHeight="1" thickTop="1" thickBot="1" x14ac:dyDescent="0.3">
      <c r="A17" s="106" t="s">
        <v>201</v>
      </c>
      <c r="B17" s="107" t="s">
        <v>220</v>
      </c>
      <c r="C17" s="108">
        <f>'Datos fijos AÑO 4'!D17</f>
        <v>360.07000000000005</v>
      </c>
      <c r="D17" s="108">
        <f>'Datos fijos AÑO 4'!D37</f>
        <v>548.69000000000005</v>
      </c>
      <c r="E17" s="108">
        <f>'Datos fijos AÑO 4'!D45</f>
        <v>154.74</v>
      </c>
      <c r="F17" s="108">
        <f>'Datos fijos AÑO 4'!D53</f>
        <v>490.43</v>
      </c>
      <c r="G17" s="108">
        <f>'Datos fijos AÑO 4'!D93</f>
        <v>823.48862099999985</v>
      </c>
      <c r="H17" s="108">
        <f>'Datos fijos AÑO 4'!D140</f>
        <v>147</v>
      </c>
      <c r="I17" s="108">
        <f>'Datos fijos AÑO 4'!D147</f>
        <v>159.33000000000001</v>
      </c>
      <c r="J17" s="108">
        <f>'Datos fijos AÑO 4'!D154</f>
        <v>260</v>
      </c>
      <c r="K17" s="108">
        <f>'Datos fijos AÑO 4'!D157</f>
        <v>1410.25</v>
      </c>
      <c r="L17" s="108">
        <f>'Datos fijos AÑO 4'!D166</f>
        <v>252.17</v>
      </c>
      <c r="M17" s="108">
        <f>SUM(C17:L17)</f>
        <v>4606.1686209999998</v>
      </c>
    </row>
    <row r="18" spans="1:22" s="100" customFormat="1" ht="16.5" thickTop="1" x14ac:dyDescent="0.2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114"/>
      <c r="N18" s="99"/>
    </row>
    <row r="19" spans="1:22" s="100" customFormat="1" ht="17.25" customHeight="1" x14ac:dyDescent="0.25">
      <c r="A19" s="498" t="s">
        <v>221</v>
      </c>
      <c r="B19" s="498"/>
      <c r="C19" s="498"/>
      <c r="D19" s="498"/>
      <c r="E19" s="498"/>
      <c r="F19" s="498"/>
      <c r="G19" s="498"/>
      <c r="H19" s="498"/>
      <c r="I19" s="498"/>
      <c r="J19" s="498"/>
      <c r="K19" s="498"/>
      <c r="L19" s="498"/>
      <c r="M19" s="115"/>
      <c r="N19" s="99"/>
    </row>
    <row r="20" spans="1:22" x14ac:dyDescent="0.25">
      <c r="A20" s="498" t="s">
        <v>222</v>
      </c>
      <c r="B20" s="498"/>
      <c r="C20" s="498"/>
      <c r="D20" s="498"/>
      <c r="E20" s="498"/>
      <c r="F20" s="498"/>
      <c r="G20" s="498"/>
      <c r="H20" s="498"/>
      <c r="I20" s="498"/>
      <c r="J20" s="498"/>
      <c r="K20" s="498"/>
      <c r="L20" s="498"/>
      <c r="M20" s="116"/>
      <c r="N20" s="97"/>
    </row>
    <row r="21" spans="1:22" ht="16.5" thickBot="1" x14ac:dyDescent="0.3">
      <c r="A21" s="117" t="s">
        <v>216</v>
      </c>
      <c r="B21" s="118"/>
      <c r="C21" s="492">
        <v>1</v>
      </c>
      <c r="D21" s="492">
        <v>2</v>
      </c>
      <c r="E21" s="492">
        <v>3</v>
      </c>
      <c r="F21" s="492">
        <v>4</v>
      </c>
      <c r="G21" s="492">
        <v>5</v>
      </c>
      <c r="H21" s="492">
        <v>6</v>
      </c>
      <c r="I21" s="492">
        <v>7</v>
      </c>
      <c r="J21" s="492">
        <v>8</v>
      </c>
      <c r="K21" s="492">
        <v>9</v>
      </c>
      <c r="L21" s="493">
        <v>10</v>
      </c>
      <c r="M21" s="116"/>
      <c r="N21" s="119"/>
      <c r="O21" s="116"/>
      <c r="P21" s="116"/>
      <c r="Q21" s="116"/>
      <c r="R21" s="116"/>
      <c r="S21" s="116"/>
      <c r="T21" s="116"/>
      <c r="U21" s="116"/>
      <c r="V21" s="116"/>
    </row>
    <row r="22" spans="1:22" ht="21" thickTop="1" thickBot="1" x14ac:dyDescent="0.4">
      <c r="A22" s="104" t="s">
        <v>217</v>
      </c>
      <c r="B22" s="104" t="s">
        <v>218</v>
      </c>
      <c r="C22" s="120">
        <f>IF(C14&gt;0,C7/(C14*12),0)</f>
        <v>1.2693200948070154</v>
      </c>
      <c r="D22" s="120">
        <f t="shared" ref="D22:L22" si="0">IF(D14&gt;0,D7/(D14*12),0)</f>
        <v>1.7267569728631147</v>
      </c>
      <c r="E22" s="120">
        <f t="shared" si="0"/>
        <v>1.3051917269470714</v>
      </c>
      <c r="F22" s="120">
        <f t="shared" si="0"/>
        <v>1.4626250761587785</v>
      </c>
      <c r="G22" s="120">
        <f t="shared" si="0"/>
        <v>1.5365401317185627</v>
      </c>
      <c r="H22" s="120">
        <f t="shared" si="0"/>
        <v>0.69384502965160455</v>
      </c>
      <c r="I22" s="120">
        <f t="shared" si="0"/>
        <v>0.41700880317806666</v>
      </c>
      <c r="J22" s="120">
        <f t="shared" si="0"/>
        <v>0.80798366296009705</v>
      </c>
      <c r="K22" s="120">
        <f t="shared" si="0"/>
        <v>0.72765952028741343</v>
      </c>
      <c r="L22" s="120">
        <f t="shared" si="0"/>
        <v>1.6970834964750598</v>
      </c>
      <c r="M22" s="116"/>
      <c r="N22" s="119"/>
      <c r="O22" s="116"/>
      <c r="P22" s="116"/>
      <c r="Q22" s="116"/>
      <c r="R22" s="116"/>
      <c r="S22" s="116"/>
      <c r="T22" s="116"/>
      <c r="U22" s="116"/>
      <c r="V22" s="116"/>
    </row>
    <row r="23" spans="1:22" ht="17.25" thickTop="1" thickBot="1" x14ac:dyDescent="0.3">
      <c r="A23" s="106" t="s">
        <v>199</v>
      </c>
      <c r="B23" s="107" t="s">
        <v>218</v>
      </c>
      <c r="C23" s="121">
        <f>IF(C15&gt;0,C8/(C15*12),0)</f>
        <v>0.93959165811484457</v>
      </c>
      <c r="D23" s="121">
        <f t="shared" ref="C23:L25" si="1">IF(D15&gt;0,D8/(D15*12),0)</f>
        <v>1.8621141589174113</v>
      </c>
      <c r="E23" s="121">
        <f t="shared" si="1"/>
        <v>1.452040753382221</v>
      </c>
      <c r="F23" s="121">
        <f t="shared" si="1"/>
        <v>1.3079335325854067</v>
      </c>
      <c r="G23" s="121">
        <f t="shared" si="1"/>
        <v>0.46838824724695305</v>
      </c>
      <c r="H23" s="121">
        <f t="shared" si="1"/>
        <v>0.56282255960799921</v>
      </c>
      <c r="I23" s="121">
        <f t="shared" si="1"/>
        <v>0.4125471176964155</v>
      </c>
      <c r="J23" s="121">
        <f t="shared" si="1"/>
        <v>0.69922931755600981</v>
      </c>
      <c r="K23" s="121">
        <f t="shared" si="1"/>
        <v>0.59321435689635083</v>
      </c>
      <c r="L23" s="121">
        <f t="shared" si="1"/>
        <v>1.7853038496870504</v>
      </c>
      <c r="M23" s="122"/>
      <c r="N23" s="119"/>
      <c r="O23" s="116"/>
      <c r="P23" s="116"/>
      <c r="Q23" s="116"/>
      <c r="R23" s="116"/>
      <c r="S23" s="116"/>
      <c r="T23" s="116"/>
      <c r="U23" s="116"/>
      <c r="V23" s="116"/>
    </row>
    <row r="24" spans="1:22" ht="17.25" thickTop="1" thickBot="1" x14ac:dyDescent="0.3">
      <c r="A24" s="106" t="s">
        <v>200</v>
      </c>
      <c r="B24" s="107" t="s">
        <v>218</v>
      </c>
      <c r="C24" s="121">
        <f t="shared" si="1"/>
        <v>0.94477953948577698</v>
      </c>
      <c r="D24" s="121">
        <f t="shared" si="1"/>
        <v>1.2534061669625418</v>
      </c>
      <c r="E24" s="121">
        <f t="shared" si="1"/>
        <v>1.4365134936254385</v>
      </c>
      <c r="F24" s="121">
        <f t="shared" si="1"/>
        <v>1.2788319776848409</v>
      </c>
      <c r="G24" s="121">
        <f t="shared" si="1"/>
        <v>0.59238829919908254</v>
      </c>
      <c r="H24" s="121">
        <f t="shared" si="1"/>
        <v>0.45841222103917201</v>
      </c>
      <c r="I24" s="121">
        <f t="shared" si="1"/>
        <v>0.43109534401306326</v>
      </c>
      <c r="J24" s="121">
        <f t="shared" si="1"/>
        <v>0.48186083867937335</v>
      </c>
      <c r="K24" s="121">
        <f t="shared" si="1"/>
        <v>0.50592228773630399</v>
      </c>
      <c r="L24" s="121">
        <f t="shared" si="1"/>
        <v>1.9112145639831355</v>
      </c>
      <c r="M24" s="123"/>
      <c r="N24" s="97"/>
    </row>
    <row r="25" spans="1:22" ht="17.25" thickTop="1" thickBot="1" x14ac:dyDescent="0.3">
      <c r="A25" s="106" t="s">
        <v>201</v>
      </c>
      <c r="B25" s="107" t="s">
        <v>218</v>
      </c>
      <c r="C25" s="121">
        <f t="shared" si="1"/>
        <v>0.95085243460476454</v>
      </c>
      <c r="D25" s="121">
        <f t="shared" si="1"/>
        <v>1.0145536778184492</v>
      </c>
      <c r="E25" s="121">
        <f t="shared" si="1"/>
        <v>1.5513217465924991</v>
      </c>
      <c r="F25" s="121">
        <f t="shared" si="1"/>
        <v>0.94634691043919861</v>
      </c>
      <c r="G25" s="121">
        <f t="shared" si="1"/>
        <v>0.56823181420929836</v>
      </c>
      <c r="H25" s="121">
        <f t="shared" si="1"/>
        <v>0.69438766198288204</v>
      </c>
      <c r="I25" s="121">
        <f t="shared" si="1"/>
        <v>0.45834505324091623</v>
      </c>
      <c r="J25" s="121">
        <f t="shared" si="1"/>
        <v>0.47691450636797184</v>
      </c>
      <c r="K25" s="121">
        <f t="shared" si="1"/>
        <v>0.42815415380532224</v>
      </c>
      <c r="L25" s="121">
        <f>IF(L17&gt;0,L10/(L17*12),0)</f>
        <v>1.1390792206663789</v>
      </c>
      <c r="M25" s="124"/>
    </row>
    <row r="26" spans="1:22" ht="16.5" thickTop="1" x14ac:dyDescent="0.25">
      <c r="A26" s="499" t="s">
        <v>394</v>
      </c>
      <c r="B26" s="499"/>
      <c r="C26" s="499"/>
      <c r="D26" s="499"/>
      <c r="E26" s="499"/>
      <c r="F26" s="499"/>
      <c r="G26" s="499"/>
      <c r="H26" s="499"/>
      <c r="I26" s="499"/>
      <c r="J26" s="499"/>
      <c r="K26" s="499"/>
      <c r="L26" s="499"/>
      <c r="M26" s="125"/>
    </row>
  </sheetData>
  <mergeCells count="9">
    <mergeCell ref="A2:M2"/>
    <mergeCell ref="A3:M3"/>
    <mergeCell ref="A4:M4"/>
    <mergeCell ref="A5:M5"/>
    <mergeCell ref="O7:R13"/>
    <mergeCell ref="A12:M12"/>
    <mergeCell ref="A19:L19"/>
    <mergeCell ref="A20:L20"/>
    <mergeCell ref="A26:L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72"/>
  <sheetViews>
    <sheetView topLeftCell="A25" zoomScale="70" zoomScaleNormal="70" workbookViewId="0">
      <selection activeCell="Q41" sqref="Q41"/>
    </sheetView>
  </sheetViews>
  <sheetFormatPr baseColWidth="10" defaultColWidth="10.7109375" defaultRowHeight="15" customHeight="1" x14ac:dyDescent="0.25"/>
  <cols>
    <col min="1" max="1" width="12.7109375" style="129" customWidth="1"/>
    <col min="2" max="256" width="10.7109375" style="129"/>
    <col min="257" max="257" width="12.7109375" style="129" customWidth="1"/>
    <col min="258" max="512" width="10.7109375" style="129"/>
    <col min="513" max="513" width="12.7109375" style="129" customWidth="1"/>
    <col min="514" max="768" width="10.7109375" style="129"/>
    <col min="769" max="769" width="12.7109375" style="129" customWidth="1"/>
    <col min="770" max="1024" width="10.7109375" style="129"/>
    <col min="1025" max="1025" width="12.7109375" style="129" customWidth="1"/>
    <col min="1026" max="1280" width="10.7109375" style="129"/>
    <col min="1281" max="1281" width="12.7109375" style="129" customWidth="1"/>
    <col min="1282" max="1536" width="10.7109375" style="129"/>
    <col min="1537" max="1537" width="12.7109375" style="129" customWidth="1"/>
    <col min="1538" max="1792" width="10.7109375" style="129"/>
    <col min="1793" max="1793" width="12.7109375" style="129" customWidth="1"/>
    <col min="1794" max="2048" width="10.7109375" style="129"/>
    <col min="2049" max="2049" width="12.7109375" style="129" customWidth="1"/>
    <col min="2050" max="2304" width="10.7109375" style="129"/>
    <col min="2305" max="2305" width="12.7109375" style="129" customWidth="1"/>
    <col min="2306" max="2560" width="10.7109375" style="129"/>
    <col min="2561" max="2561" width="12.7109375" style="129" customWidth="1"/>
    <col min="2562" max="2816" width="10.7109375" style="129"/>
    <col min="2817" max="2817" width="12.7109375" style="129" customWidth="1"/>
    <col min="2818" max="3072" width="10.7109375" style="129"/>
    <col min="3073" max="3073" width="12.7109375" style="129" customWidth="1"/>
    <col min="3074" max="3328" width="10.7109375" style="129"/>
    <col min="3329" max="3329" width="12.7109375" style="129" customWidth="1"/>
    <col min="3330" max="3584" width="10.7109375" style="129"/>
    <col min="3585" max="3585" width="12.7109375" style="129" customWidth="1"/>
    <col min="3586" max="3840" width="10.7109375" style="129"/>
    <col min="3841" max="3841" width="12.7109375" style="129" customWidth="1"/>
    <col min="3842" max="4096" width="10.7109375" style="129"/>
    <col min="4097" max="4097" width="12.7109375" style="129" customWidth="1"/>
    <col min="4098" max="4352" width="10.7109375" style="129"/>
    <col min="4353" max="4353" width="12.7109375" style="129" customWidth="1"/>
    <col min="4354" max="4608" width="10.7109375" style="129"/>
    <col min="4609" max="4609" width="12.7109375" style="129" customWidth="1"/>
    <col min="4610" max="4864" width="10.7109375" style="129"/>
    <col min="4865" max="4865" width="12.7109375" style="129" customWidth="1"/>
    <col min="4866" max="5120" width="10.7109375" style="129"/>
    <col min="5121" max="5121" width="12.7109375" style="129" customWidth="1"/>
    <col min="5122" max="5376" width="10.7109375" style="129"/>
    <col min="5377" max="5377" width="12.7109375" style="129" customWidth="1"/>
    <col min="5378" max="5632" width="10.7109375" style="129"/>
    <col min="5633" max="5633" width="12.7109375" style="129" customWidth="1"/>
    <col min="5634" max="5888" width="10.7109375" style="129"/>
    <col min="5889" max="5889" width="12.7109375" style="129" customWidth="1"/>
    <col min="5890" max="6144" width="10.7109375" style="129"/>
    <col min="6145" max="6145" width="12.7109375" style="129" customWidth="1"/>
    <col min="6146" max="6400" width="10.7109375" style="129"/>
    <col min="6401" max="6401" width="12.7109375" style="129" customWidth="1"/>
    <col min="6402" max="6656" width="10.7109375" style="129"/>
    <col min="6657" max="6657" width="12.7109375" style="129" customWidth="1"/>
    <col min="6658" max="6912" width="10.7109375" style="129"/>
    <col min="6913" max="6913" width="12.7109375" style="129" customWidth="1"/>
    <col min="6914" max="7168" width="10.7109375" style="129"/>
    <col min="7169" max="7169" width="12.7109375" style="129" customWidth="1"/>
    <col min="7170" max="7424" width="10.7109375" style="129"/>
    <col min="7425" max="7425" width="12.7109375" style="129" customWidth="1"/>
    <col min="7426" max="7680" width="10.7109375" style="129"/>
    <col min="7681" max="7681" width="12.7109375" style="129" customWidth="1"/>
    <col min="7682" max="7936" width="10.7109375" style="129"/>
    <col min="7937" max="7937" width="12.7109375" style="129" customWidth="1"/>
    <col min="7938" max="8192" width="10.7109375" style="129"/>
    <col min="8193" max="8193" width="12.7109375" style="129" customWidth="1"/>
    <col min="8194" max="8448" width="10.7109375" style="129"/>
    <col min="8449" max="8449" width="12.7109375" style="129" customWidth="1"/>
    <col min="8450" max="8704" width="10.7109375" style="129"/>
    <col min="8705" max="8705" width="12.7109375" style="129" customWidth="1"/>
    <col min="8706" max="8960" width="10.7109375" style="129"/>
    <col min="8961" max="8961" width="12.7109375" style="129" customWidth="1"/>
    <col min="8962" max="9216" width="10.7109375" style="129"/>
    <col min="9217" max="9217" width="12.7109375" style="129" customWidth="1"/>
    <col min="9218" max="9472" width="10.7109375" style="129"/>
    <col min="9473" max="9473" width="12.7109375" style="129" customWidth="1"/>
    <col min="9474" max="9728" width="10.7109375" style="129"/>
    <col min="9729" max="9729" width="12.7109375" style="129" customWidth="1"/>
    <col min="9730" max="9984" width="10.7109375" style="129"/>
    <col min="9985" max="9985" width="12.7109375" style="129" customWidth="1"/>
    <col min="9986" max="10240" width="10.7109375" style="129"/>
    <col min="10241" max="10241" width="12.7109375" style="129" customWidth="1"/>
    <col min="10242" max="10496" width="10.7109375" style="129"/>
    <col min="10497" max="10497" width="12.7109375" style="129" customWidth="1"/>
    <col min="10498" max="10752" width="10.7109375" style="129"/>
    <col min="10753" max="10753" width="12.7109375" style="129" customWidth="1"/>
    <col min="10754" max="11008" width="10.7109375" style="129"/>
    <col min="11009" max="11009" width="12.7109375" style="129" customWidth="1"/>
    <col min="11010" max="11264" width="10.7109375" style="129"/>
    <col min="11265" max="11265" width="12.7109375" style="129" customWidth="1"/>
    <col min="11266" max="11520" width="10.7109375" style="129"/>
    <col min="11521" max="11521" width="12.7109375" style="129" customWidth="1"/>
    <col min="11522" max="11776" width="10.7109375" style="129"/>
    <col min="11777" max="11777" width="12.7109375" style="129" customWidth="1"/>
    <col min="11778" max="12032" width="10.7109375" style="129"/>
    <col min="12033" max="12033" width="12.7109375" style="129" customWidth="1"/>
    <col min="12034" max="12288" width="10.7109375" style="129"/>
    <col min="12289" max="12289" width="12.7109375" style="129" customWidth="1"/>
    <col min="12290" max="12544" width="10.7109375" style="129"/>
    <col min="12545" max="12545" width="12.7109375" style="129" customWidth="1"/>
    <col min="12546" max="12800" width="10.7109375" style="129"/>
    <col min="12801" max="12801" width="12.7109375" style="129" customWidth="1"/>
    <col min="12802" max="13056" width="10.7109375" style="129"/>
    <col min="13057" max="13057" width="12.7109375" style="129" customWidth="1"/>
    <col min="13058" max="13312" width="10.7109375" style="129"/>
    <col min="13313" max="13313" width="12.7109375" style="129" customWidth="1"/>
    <col min="13314" max="13568" width="10.7109375" style="129"/>
    <col min="13569" max="13569" width="12.7109375" style="129" customWidth="1"/>
    <col min="13570" max="13824" width="10.7109375" style="129"/>
    <col min="13825" max="13825" width="12.7109375" style="129" customWidth="1"/>
    <col min="13826" max="14080" width="10.7109375" style="129"/>
    <col min="14081" max="14081" width="12.7109375" style="129" customWidth="1"/>
    <col min="14082" max="14336" width="10.7109375" style="129"/>
    <col min="14337" max="14337" width="12.7109375" style="129" customWidth="1"/>
    <col min="14338" max="14592" width="10.7109375" style="129"/>
    <col min="14593" max="14593" width="12.7109375" style="129" customWidth="1"/>
    <col min="14594" max="14848" width="10.7109375" style="129"/>
    <col min="14849" max="14849" width="12.7109375" style="129" customWidth="1"/>
    <col min="14850" max="15104" width="10.7109375" style="129"/>
    <col min="15105" max="15105" width="12.7109375" style="129" customWidth="1"/>
    <col min="15106" max="15360" width="10.7109375" style="129"/>
    <col min="15361" max="15361" width="12.7109375" style="129" customWidth="1"/>
    <col min="15362" max="15616" width="10.7109375" style="129"/>
    <col min="15617" max="15617" width="12.7109375" style="129" customWidth="1"/>
    <col min="15618" max="15872" width="10.7109375" style="129"/>
    <col min="15873" max="15873" width="12.7109375" style="129" customWidth="1"/>
    <col min="15874" max="16128" width="10.7109375" style="129"/>
    <col min="16129" max="16129" width="12.7109375" style="129" customWidth="1"/>
    <col min="16130" max="16384" width="10.7109375" style="129"/>
  </cols>
  <sheetData>
    <row r="1" spans="1:14" ht="22.15" customHeight="1" x14ac:dyDescent="0.25">
      <c r="A1" s="127" t="s">
        <v>0</v>
      </c>
      <c r="B1" s="128">
        <f>[22]Input!B1</f>
        <v>1</v>
      </c>
      <c r="C1" s="128" t="str">
        <f>[22]Input!C1</f>
        <v>2021-2022</v>
      </c>
    </row>
    <row r="2" spans="1:14" ht="15" customHeight="1" x14ac:dyDescent="0.25">
      <c r="A2" s="130"/>
      <c r="B2" s="131" t="s">
        <v>3</v>
      </c>
      <c r="C2" s="132"/>
      <c r="D2" s="131" t="s">
        <v>4</v>
      </c>
      <c r="E2" s="133"/>
      <c r="F2" s="134" t="s">
        <v>225</v>
      </c>
    </row>
    <row r="3" spans="1:14" ht="15" customHeight="1" x14ac:dyDescent="0.25">
      <c r="A3" s="135" t="s">
        <v>6</v>
      </c>
      <c r="B3" s="285">
        <f>+[23]Resumen!$B$3</f>
        <v>59710.152840950002</v>
      </c>
      <c r="C3" s="137">
        <f>C4+C5</f>
        <v>0.96069640828820113</v>
      </c>
      <c r="D3" s="138">
        <f>[22]Input!D3</f>
        <v>2349.39</v>
      </c>
      <c r="E3" s="137">
        <f>E4+E5</f>
        <v>1</v>
      </c>
      <c r="F3" s="139" t="s">
        <v>7</v>
      </c>
      <c r="H3" s="140" t="s">
        <v>10</v>
      </c>
      <c r="I3" s="141">
        <v>0.7</v>
      </c>
      <c r="J3" s="142">
        <f>I3*B3</f>
        <v>41797.106988665</v>
      </c>
      <c r="K3" s="143" t="s">
        <v>9</v>
      </c>
      <c r="L3" s="144">
        <f>L54+L57</f>
        <v>41797.106988665008</v>
      </c>
      <c r="M3" s="145">
        <f>L3/(L4+L3)</f>
        <v>0.70000000000000007</v>
      </c>
    </row>
    <row r="4" spans="1:14" ht="15" customHeight="1" x14ac:dyDescent="0.25">
      <c r="A4" s="146" t="s">
        <v>11</v>
      </c>
      <c r="B4" s="147">
        <f>[22]Input!B4</f>
        <v>49059.987082774009</v>
      </c>
      <c r="C4" s="148">
        <f>B4/B3</f>
        <v>0.82163559710615963</v>
      </c>
      <c r="D4" s="149">
        <f>[22]Input!D4</f>
        <v>2079.9899999999998</v>
      </c>
      <c r="E4" s="148">
        <f>D4/D3</f>
        <v>0.88533193722625869</v>
      </c>
      <c r="F4" s="150">
        <f>[22]Input!F4</f>
        <v>23.586645648668512</v>
      </c>
      <c r="H4" s="140" t="s">
        <v>12</v>
      </c>
      <c r="I4" s="141">
        <v>0.3</v>
      </c>
      <c r="J4" s="142">
        <f>I4*B3</f>
        <v>17913.045852284999</v>
      </c>
      <c r="K4" s="143" t="s">
        <v>9</v>
      </c>
      <c r="L4" s="144">
        <f>L55+L58</f>
        <v>17913.045852285002</v>
      </c>
      <c r="M4" s="145">
        <f>L4/(L3+L4)</f>
        <v>0.3</v>
      </c>
    </row>
    <row r="5" spans="1:14" ht="15" customHeight="1" x14ac:dyDescent="0.25">
      <c r="A5" s="151" t="s">
        <v>13</v>
      </c>
      <c r="B5" s="152">
        <f>[22]Input!B5</f>
        <v>8303.3422898661847</v>
      </c>
      <c r="C5" s="153">
        <f>B5/B3</f>
        <v>0.13906081118204147</v>
      </c>
      <c r="D5" s="154">
        <f>[22]Input!D5</f>
        <v>269.39999999999998</v>
      </c>
      <c r="E5" s="153">
        <f>D5/D3</f>
        <v>0.11466806277374127</v>
      </c>
      <c r="F5" s="155">
        <f>[22]Input!F5</f>
        <v>30.821612063348869</v>
      </c>
    </row>
    <row r="6" spans="1:14" ht="15" customHeight="1" x14ac:dyDescent="0.25">
      <c r="B6" s="156"/>
    </row>
    <row r="7" spans="1:14" ht="15" customHeight="1" x14ac:dyDescent="0.25">
      <c r="A7" s="127" t="s">
        <v>226</v>
      </c>
      <c r="B7" s="285">
        <f>+[23]Resumen!$B$7</f>
        <v>44753.727860347302</v>
      </c>
      <c r="C7" s="137">
        <f>[22]Input!C7</f>
        <v>1</v>
      </c>
      <c r="D7" s="138">
        <f>[22]Input!D7</f>
        <v>606.11</v>
      </c>
      <c r="E7" s="137">
        <f>[22]Input!E7</f>
        <v>1</v>
      </c>
      <c r="F7" s="157">
        <f>[22]Input!F7</f>
        <v>69.939557464154262</v>
      </c>
      <c r="G7" s="129">
        <f>[22]Input!G7</f>
        <v>0</v>
      </c>
    </row>
    <row r="9" spans="1:14" ht="15" customHeight="1" x14ac:dyDescent="0.25">
      <c r="A9" s="158" t="s">
        <v>227</v>
      </c>
      <c r="B9" s="159" t="s">
        <v>228</v>
      </c>
      <c r="C9" s="160" t="s">
        <v>229</v>
      </c>
      <c r="D9" s="160" t="s">
        <v>230</v>
      </c>
      <c r="E9" s="160" t="s">
        <v>231</v>
      </c>
      <c r="F9" s="160" t="s">
        <v>232</v>
      </c>
      <c r="G9" s="160" t="s">
        <v>233</v>
      </c>
      <c r="H9" s="161" t="s">
        <v>234</v>
      </c>
      <c r="I9" s="161" t="s">
        <v>235</v>
      </c>
      <c r="J9" s="161" t="s">
        <v>236</v>
      </c>
      <c r="K9" s="161" t="s">
        <v>237</v>
      </c>
      <c r="L9" s="161" t="s">
        <v>238</v>
      </c>
      <c r="M9" s="162" t="s">
        <v>239</v>
      </c>
    </row>
    <row r="10" spans="1:14" ht="15" customHeight="1" x14ac:dyDescent="0.25">
      <c r="A10" s="163"/>
      <c r="B10" s="164" t="s">
        <v>240</v>
      </c>
      <c r="C10" s="165" t="s">
        <v>241</v>
      </c>
      <c r="D10" s="165" t="s">
        <v>242</v>
      </c>
      <c r="E10" s="165" t="s">
        <v>243</v>
      </c>
      <c r="F10" s="165" t="s">
        <v>244</v>
      </c>
      <c r="G10" s="165" t="s">
        <v>245</v>
      </c>
      <c r="H10" s="165" t="s">
        <v>246</v>
      </c>
      <c r="I10" s="165" t="s">
        <v>247</v>
      </c>
      <c r="J10" s="165" t="s">
        <v>248</v>
      </c>
      <c r="K10" s="165" t="s">
        <v>249</v>
      </c>
      <c r="L10" s="165" t="s">
        <v>250</v>
      </c>
      <c r="M10" s="166" t="s">
        <v>251</v>
      </c>
    </row>
    <row r="11" spans="1:14" ht="15" customHeight="1" x14ac:dyDescent="0.25">
      <c r="A11" s="158" t="s">
        <v>252</v>
      </c>
      <c r="B11" s="159" t="s">
        <v>253</v>
      </c>
      <c r="C11" s="160" t="s">
        <v>253</v>
      </c>
      <c r="D11" s="160" t="s">
        <v>253</v>
      </c>
      <c r="E11" s="160" t="s">
        <v>253</v>
      </c>
      <c r="F11" s="160" t="s">
        <v>253</v>
      </c>
      <c r="G11" s="160" t="s">
        <v>253</v>
      </c>
      <c r="H11" s="161" t="s">
        <v>254</v>
      </c>
      <c r="I11" s="161" t="s">
        <v>254</v>
      </c>
      <c r="J11" s="161" t="s">
        <v>254</v>
      </c>
      <c r="K11" s="161" t="s">
        <v>254</v>
      </c>
      <c r="L11" s="161" t="s">
        <v>254</v>
      </c>
      <c r="M11" s="162" t="s">
        <v>253</v>
      </c>
    </row>
    <row r="12" spans="1:14" ht="15" customHeight="1" x14ac:dyDescent="0.25">
      <c r="A12" s="167">
        <f>SUM(B12:M12)</f>
        <v>8760</v>
      </c>
      <c r="B12" s="168">
        <f>24*31</f>
        <v>744</v>
      </c>
      <c r="C12" s="169">
        <f>24*31</f>
        <v>744</v>
      </c>
      <c r="D12" s="169">
        <f>24*30</f>
        <v>720</v>
      </c>
      <c r="E12" s="169">
        <f>24*31</f>
        <v>744</v>
      </c>
      <c r="F12" s="169">
        <f>24*30</f>
        <v>720</v>
      </c>
      <c r="G12" s="169">
        <f>24*31</f>
        <v>744</v>
      </c>
      <c r="H12" s="169">
        <f>24*31</f>
        <v>744</v>
      </c>
      <c r="I12" s="169">
        <f>24*28</f>
        <v>672</v>
      </c>
      <c r="J12" s="169">
        <f>24*31</f>
        <v>744</v>
      </c>
      <c r="K12" s="169">
        <f>24*30</f>
        <v>720</v>
      </c>
      <c r="L12" s="169">
        <f>24*31</f>
        <v>744</v>
      </c>
      <c r="M12" s="170">
        <f>24*30</f>
        <v>720</v>
      </c>
      <c r="N12" s="171">
        <f>SUM(B12:M12)</f>
        <v>8760</v>
      </c>
    </row>
    <row r="13" spans="1:14" ht="15" customHeight="1" x14ac:dyDescent="0.25">
      <c r="A13" s="172" t="s">
        <v>255</v>
      </c>
      <c r="B13" s="146">
        <f>[23]M01!$H$13</f>
        <v>744</v>
      </c>
      <c r="C13" s="129">
        <f>[23]M02!$H$13</f>
        <v>744</v>
      </c>
      <c r="D13" s="129">
        <f>[23]M03!$H$13</f>
        <v>720</v>
      </c>
      <c r="E13" s="129">
        <f>[23]M04!$H$13</f>
        <v>744</v>
      </c>
      <c r="F13" s="129">
        <f>[23]M05!$H$13</f>
        <v>720</v>
      </c>
      <c r="G13" s="129">
        <f>[23]M06!$H$13</f>
        <v>744</v>
      </c>
      <c r="H13" s="129">
        <f>[23]M07!$H$13</f>
        <v>744</v>
      </c>
      <c r="I13" s="129">
        <f>[23]M08!$H$13</f>
        <v>672</v>
      </c>
      <c r="J13" s="129">
        <f>[23]M09!$H$13</f>
        <v>744</v>
      </c>
      <c r="K13" s="129">
        <f>[23]M10!$H$13</f>
        <v>720</v>
      </c>
      <c r="L13" s="129">
        <f>[23]M11!$H$13</f>
        <v>744</v>
      </c>
      <c r="M13" s="173">
        <f>[23]M12!$H$13</f>
        <v>720</v>
      </c>
      <c r="N13" s="171">
        <f>SUM(B13:M13)</f>
        <v>8760</v>
      </c>
    </row>
    <row r="14" spans="1:14" ht="15" customHeight="1" x14ac:dyDescent="0.25">
      <c r="A14" s="163" t="s">
        <v>256</v>
      </c>
      <c r="B14" s="174">
        <f>[23]M01!$I$13</f>
        <v>8.4931506849315067E-2</v>
      </c>
      <c r="C14" s="175">
        <f>[23]M02!$I$13</f>
        <v>8.493150684931508E-2</v>
      </c>
      <c r="D14" s="175">
        <f>[23]M03!$I$13</f>
        <v>8.2191780821917804E-2</v>
      </c>
      <c r="E14" s="175">
        <f>[23]M04!$I$13</f>
        <v>8.493150684931508E-2</v>
      </c>
      <c r="F14" s="175">
        <f>[23]M05!$I$13</f>
        <v>8.2191780821917818E-2</v>
      </c>
      <c r="G14" s="175">
        <f>[23]M06!$I$13</f>
        <v>8.4931506849315053E-2</v>
      </c>
      <c r="H14" s="175">
        <f>[23]M07!$I$13</f>
        <v>8.4931506849315053E-2</v>
      </c>
      <c r="I14" s="175">
        <f>[23]M08!$I$13</f>
        <v>7.6712328767123292E-2</v>
      </c>
      <c r="J14" s="175">
        <f>[23]M09!$I$13</f>
        <v>8.493150684931508E-2</v>
      </c>
      <c r="K14" s="175">
        <f>[23]M10!$I$13</f>
        <v>8.2191780821917804E-2</v>
      </c>
      <c r="L14" s="175">
        <f>[23]M11!$I$13</f>
        <v>8.4931506849315067E-2</v>
      </c>
      <c r="M14" s="176">
        <f>[23]M12!$I$13</f>
        <v>8.2191780821917804E-2</v>
      </c>
      <c r="N14" s="177">
        <f>SUM(B14:M14)</f>
        <v>1</v>
      </c>
    </row>
    <row r="16" spans="1:14" ht="20.25" customHeight="1" x14ac:dyDescent="0.25">
      <c r="A16" s="178" t="s">
        <v>26</v>
      </c>
      <c r="B16" s="179">
        <v>1</v>
      </c>
      <c r="C16" s="179">
        <v>2</v>
      </c>
      <c r="D16" s="179">
        <v>3</v>
      </c>
      <c r="E16" s="179">
        <v>4</v>
      </c>
      <c r="F16" s="179">
        <v>5</v>
      </c>
      <c r="G16" s="179">
        <v>6</v>
      </c>
      <c r="H16" s="179">
        <v>7</v>
      </c>
      <c r="I16" s="179">
        <v>8</v>
      </c>
      <c r="J16" s="179">
        <v>9</v>
      </c>
      <c r="K16" s="180">
        <v>10</v>
      </c>
      <c r="L16" s="181" t="s">
        <v>21</v>
      </c>
    </row>
    <row r="17" spans="1:14" ht="25.15" customHeight="1" x14ac:dyDescent="0.25">
      <c r="A17" s="182" t="s">
        <v>257</v>
      </c>
      <c r="B17" s="183" t="s">
        <v>258</v>
      </c>
      <c r="C17" s="183" t="s">
        <v>259</v>
      </c>
      <c r="D17" s="183" t="s">
        <v>260</v>
      </c>
      <c r="E17" s="183" t="s">
        <v>261</v>
      </c>
      <c r="F17" s="183" t="s">
        <v>262</v>
      </c>
      <c r="G17" s="183" t="s">
        <v>263</v>
      </c>
      <c r="H17" s="183" t="s">
        <v>264</v>
      </c>
      <c r="I17" s="183" t="s">
        <v>265</v>
      </c>
      <c r="J17" s="183" t="s">
        <v>266</v>
      </c>
      <c r="K17" s="184" t="s">
        <v>267</v>
      </c>
      <c r="L17" s="185"/>
    </row>
    <row r="18" spans="1:14" ht="20.25" customHeight="1" x14ac:dyDescent="0.25">
      <c r="A18" s="186" t="s">
        <v>268</v>
      </c>
      <c r="L18" s="187"/>
    </row>
    <row r="19" spans="1:14" ht="15" customHeight="1" x14ac:dyDescent="0.25">
      <c r="A19" s="158" t="s">
        <v>269</v>
      </c>
      <c r="B19" s="188">
        <f>[22]Input!B11</f>
        <v>268.7946</v>
      </c>
      <c r="C19" s="189">
        <f>[22]Input!C11</f>
        <v>547.79999999999995</v>
      </c>
      <c r="D19" s="189">
        <f>[22]Input!D11</f>
        <v>155.26999999999998</v>
      </c>
      <c r="E19" s="189">
        <f>[22]Input!E11</f>
        <v>434.98</v>
      </c>
      <c r="F19" s="189">
        <f>[22]Input!F11</f>
        <v>803.198621</v>
      </c>
      <c r="G19" s="189">
        <f>[22]Input!G11</f>
        <v>151.30000000000001</v>
      </c>
      <c r="H19" s="189">
        <f>[22]Input!H11</f>
        <v>159.33000000000001</v>
      </c>
      <c r="I19" s="189">
        <f>[22]Input!I11</f>
        <v>260</v>
      </c>
      <c r="J19" s="189">
        <f>[22]Input!J11</f>
        <v>740.45</v>
      </c>
      <c r="K19" s="190">
        <f>[22]Input!K11</f>
        <v>252.17</v>
      </c>
      <c r="L19" s="191">
        <f>SUM(B19:K19)</f>
        <v>3773.2932209999999</v>
      </c>
    </row>
    <row r="20" spans="1:14" ht="15" customHeight="1" x14ac:dyDescent="0.25">
      <c r="A20" s="163" t="s">
        <v>23</v>
      </c>
      <c r="B20" s="192">
        <f>[22]Input!B12</f>
        <v>23.37</v>
      </c>
      <c r="C20" s="193">
        <f>[22]Input!C12</f>
        <v>0</v>
      </c>
      <c r="D20" s="193">
        <f>[22]Input!D12</f>
        <v>0.1</v>
      </c>
      <c r="E20" s="193">
        <f>[22]Input!E12</f>
        <v>122.86</v>
      </c>
      <c r="F20" s="193">
        <f>[22]Input!F12</f>
        <v>566.55999999999995</v>
      </c>
      <c r="G20" s="193">
        <f>[22]Input!G12</f>
        <v>183.27</v>
      </c>
      <c r="H20" s="193">
        <f>[22]Input!H12</f>
        <v>1126.7800000000002</v>
      </c>
      <c r="I20" s="193">
        <f>[22]Input!I12</f>
        <v>2.4</v>
      </c>
      <c r="J20" s="193">
        <f>[22]Input!J12</f>
        <v>129.75</v>
      </c>
      <c r="K20" s="194">
        <f>[22]Input!K12</f>
        <v>45.04</v>
      </c>
      <c r="L20" s="195">
        <f>SUM(B20:K20)</f>
        <v>2200.13</v>
      </c>
    </row>
    <row r="21" spans="1:14" ht="20.25" customHeight="1" x14ac:dyDescent="0.25">
      <c r="A21" s="186" t="s">
        <v>270</v>
      </c>
      <c r="L21" s="187"/>
    </row>
    <row r="22" spans="1:14" ht="15" customHeight="1" x14ac:dyDescent="0.25">
      <c r="A22" s="158" t="s">
        <v>271</v>
      </c>
      <c r="B22" s="188">
        <f>SUM([23]M01!B21*$B$14,[23]M02!B21*$C$14,[23]M03!B21*$D$14,[23]M04!B21*$E$14,[23]M05!B21*$F$14,[23]M06!B21*$G$14,[23]M07!B21*$H$14,[23]M08!B21*$I$14,[23]M09!B21*$J$14,[23]M10!B21*$K$14,[23]M11!B21*$L$14,[23]M12!B21*$M$14)/$N$14</f>
        <v>119.70557286768268</v>
      </c>
      <c r="C22" s="189">
        <f>SUM([23]M01!C21*$B$14,[23]M02!C21*$C$14,[23]M03!C21*$D$14,[23]M04!C21*$E$14,[23]M05!C21*$F$14,[23]M06!C21*$G$14,[23]M07!C21*$H$14,[23]M08!C21*$I$14,[23]M09!C21*$J$14,[23]M10!C21*$K$14,[23]M11!C21*$L$14,[23]M12!C21*$M$14)/$N$14</f>
        <v>293.24367827635842</v>
      </c>
      <c r="D22" s="189">
        <f>SUM([23]M01!D21*$B$14,[23]M02!D21*$C$14,[23]M03!D21*$D$14,[23]M04!D21*$E$14,[23]M05!D21*$F$14,[23]M06!D21*$G$14,[23]M07!D21*$H$14,[23]M08!D21*$I$14,[23]M09!D21*$J$14,[23]M10!D21*$K$14,[23]M11!D21*$L$14,[23]M12!D21*$M$14)/$N$14</f>
        <v>73.490256541038818</v>
      </c>
      <c r="E22" s="189">
        <f>SUM([23]M01!E21*$B$14,[23]M02!E21*$C$14,[23]M03!E21*$D$14,[23]M04!E21*$E$14,[23]M05!E21*$F$14,[23]M06!E21*$G$14,[23]M07!E21*$H$14,[23]M08!E21*$I$14,[23]M09!E21*$J$14,[23]M10!E21*$K$14,[23]M11!E21*$L$14,[23]M12!E21*$M$14)/$N$14</f>
        <v>195.68241953644977</v>
      </c>
      <c r="F22" s="189">
        <f>SUM([23]M01!F21*$B$14,[23]M02!F21*$C$14,[23]M03!F21*$D$14,[23]M04!F21*$E$14,[23]M05!F21*$F$14,[23]M06!F21*$G$14,[23]M07!F21*$H$14,[23]M08!F21*$I$14,[23]M09!F21*$J$14,[23]M10!F21*$K$14,[23]M11!F21*$L$14,[23]M12!F21*$M$14)/$N$14</f>
        <v>128.95223697245433</v>
      </c>
      <c r="G22" s="189">
        <f>SUM([23]M01!G21*$B$14,[23]M02!G21*$C$14,[23]M03!G21*$D$14,[23]M04!G21*$E$14,[23]M05!G21*$F$14,[23]M06!G21*$G$14,[23]M07!G21*$H$14,[23]M08!G21*$I$14,[23]M09!G21*$J$14,[23]M10!G21*$K$14,[23]M11!G21*$L$14,[23]M12!G21*$M$14)/$N$14</f>
        <v>43.437736745205491</v>
      </c>
      <c r="H22" s="189">
        <f>SUM([23]M01!H21*$B$14,[23]M02!H21*$C$14,[23]M03!H21*$D$14,[23]M04!H21*$E$14,[23]M05!H21*$F$14,[23]M06!H21*$G$14,[23]M07!H21*$H$14,[23]M08!H21*$I$14,[23]M09!H21*$J$14,[23]M10!H21*$K$14,[23]M11!H21*$L$14,[23]M12!H21*$M$14)/$N$14</f>
        <v>8.3552330616666648</v>
      </c>
      <c r="I22" s="189">
        <f>SUM([23]M01!I21*$B$14,[23]M02!I21*$C$14,[23]M03!I21*$D$14,[23]M04!I21*$E$14,[23]M05!I21*$F$14,[23]M06!I21*$G$14,[23]M07!I21*$H$14,[23]M08!I21*$I$14,[23]M09!I21*$J$14,[23]M10!I21*$K$14,[23]M11!I21*$L$14,[23]M12!I21*$M$14)/$N$14</f>
        <v>59.450802589931506</v>
      </c>
      <c r="J22" s="189">
        <f>SUM([23]M01!J21*$B$14,[23]M02!J21*$C$14,[23]M03!J21*$D$14,[23]M04!J21*$E$14,[23]M05!J21*$F$14,[23]M06!J21*$G$14,[23]M07!J21*$H$14,[23]M08!J21*$I$14,[23]M09!J21*$J$14,[23]M10!J21*$K$14,[23]M11!J21*$L$14,[23]M12!J21*$M$14)/$N$14</f>
        <v>216.06882703271685</v>
      </c>
      <c r="K22" s="190">
        <f>SUM([23]M01!K21*$B$14,[23]M02!K21*$C$14,[23]M03!K21*$D$14,[23]M04!K21*$E$14,[23]M05!K21*$F$14,[23]M06!K21*$G$14,[23]M07!K21*$H$14,[23]M08!K21*$I$14,[23]M09!K21*$J$14,[23]M10!K21*$K$14,[23]M11!K21*$L$14,[23]M12!K21*$M$14)/$N$14</f>
        <v>129.8786209639612</v>
      </c>
      <c r="L22" s="191">
        <f>SUM(B22:K22)</f>
        <v>1268.2653845874656</v>
      </c>
    </row>
    <row r="23" spans="1:14" ht="15" customHeight="1" x14ac:dyDescent="0.25">
      <c r="A23" s="163" t="s">
        <v>272</v>
      </c>
      <c r="B23" s="192">
        <f>SUM([23]M01!B22*$B$14,[23]M02!B22*$C$14,[23]M03!B22*$D$14,[23]M04!B22*$E$14,[23]M05!B22*$F$14,[23]M06!B22*$G$14,[23]M07!B22*$H$14,[23]M08!B22*$I$14,[23]M09!B22*$J$14,[23]M10!B22*$K$14,[23]M11!B22*$L$14,[23]M12!B22*$M$14)/$N$14</f>
        <v>26.459268219600453</v>
      </c>
      <c r="C23" s="193">
        <f>SUM([23]M01!C22*$B$14,[23]M02!C22*$C$14,[23]M03!C22*$D$14,[23]M04!C22*$E$14,[23]M05!C22*$F$14,[23]M06!C22*$G$14,[23]M07!C22*$H$14,[23]M08!C22*$I$14,[23]M09!C22*$J$14,[23]M10!C22*$K$14,[23]M11!C22*$L$14,[23]M12!C22*$M$14)/$N$14</f>
        <v>0</v>
      </c>
      <c r="D23" s="193">
        <f>SUM([23]M01!D22*$B$14,[23]M02!D22*$C$14,[23]M03!D22*$D$14,[23]M04!D22*$E$14,[23]M05!D22*$F$14,[23]M06!D22*$G$14,[23]M07!D22*$H$14,[23]M08!D22*$I$14,[23]M09!D22*$J$14,[23]M10!D22*$K$14,[23]M11!D22*$L$14,[23]M12!D22*$M$14)/$N$14</f>
        <v>4.9099485239726043E-2</v>
      </c>
      <c r="E23" s="193">
        <f>SUM([23]M01!E22*$B$14,[23]M02!E22*$C$14,[23]M03!E22*$D$14,[23]M04!E22*$E$14,[23]M05!E22*$F$14,[23]M06!E22*$G$14,[23]M07!E22*$H$14,[23]M08!E22*$I$14,[23]M09!E22*$J$14,[23]M10!E22*$K$14,[23]M11!E22*$L$14,[23]M12!E22*$M$14)/$N$14</f>
        <v>58.845830643173528</v>
      </c>
      <c r="F23" s="193">
        <f>SUM([23]M01!F22*$B$14,[23]M02!F22*$C$14,[23]M03!F22*$D$14,[23]M04!F22*$E$14,[23]M05!F22*$F$14,[23]M06!F22*$G$14,[23]M07!F22*$H$14,[23]M08!F22*$I$14,[23]M09!F22*$J$14,[23]M10!F22*$K$14,[23]M11!F22*$L$14,[23]M12!F22*$M$14)/$N$14</f>
        <v>185.10492583847031</v>
      </c>
      <c r="G23" s="193">
        <f>SUM([23]M01!G22*$B$14,[23]M02!G22*$C$14,[23]M03!G22*$D$14,[23]M04!G22*$E$14,[23]M05!G22*$F$14,[23]M06!G22*$G$14,[23]M07!G22*$H$14,[23]M08!G22*$I$14,[23]M09!G22*$J$14,[23]M10!G22*$K$14,[23]M11!G22*$L$14,[23]M12!G22*$M$14)/$N$14</f>
        <v>128.36591451752284</v>
      </c>
      <c r="H23" s="193">
        <f>SUM([23]M01!H22*$B$14,[23]M02!H22*$C$14,[23]M03!H22*$D$14,[23]M04!H22*$E$14,[23]M05!H22*$F$14,[23]M06!H22*$G$14,[23]M07!H22*$H$14,[23]M08!H22*$I$14,[23]M09!H22*$J$14,[23]M10!H22*$K$14,[23]M11!H22*$L$14,[23]M12!H22*$M$14)/$N$14</f>
        <v>612.54680214721463</v>
      </c>
      <c r="I23" s="193">
        <f>SUM([23]M01!I22*$B$14,[23]M02!I22*$C$14,[23]M03!I22*$D$14,[23]M04!I22*$E$14,[23]M05!I22*$F$14,[23]M06!I22*$G$14,[23]M07!I22*$H$14,[23]M08!I22*$I$14,[23]M09!I22*$J$14,[23]M10!I22*$K$14,[23]M11!I22*$L$14,[23]M12!I22*$M$14)/$N$14</f>
        <v>0.89469449132420087</v>
      </c>
      <c r="J23" s="193">
        <f>SUM([23]M01!J22*$B$14,[23]M02!J22*$C$14,[23]M03!J22*$D$14,[23]M04!J22*$E$14,[23]M05!J22*$F$14,[23]M06!J22*$G$14,[23]M07!J22*$H$14,[23]M08!J22*$I$14,[23]M09!J22*$J$14,[23]M10!J22*$K$14,[23]M11!J22*$L$14,[23]M12!J22*$M$14)/$N$14</f>
        <v>75.431486551118738</v>
      </c>
      <c r="K23" s="194">
        <f>SUM([23]M01!K22*$B$14,[23]M02!K22*$C$14,[23]M03!K22*$D$14,[23]M04!K22*$E$14,[23]M05!K22*$F$14,[23]M06!K22*$G$14,[23]M07!K22*$H$14,[23]M08!K22*$I$14,[23]M09!K22*$J$14,[23]M10!K22*$K$14,[23]M11!K22*$L$14,[23]M12!K22*$M$14)/$N$14</f>
        <v>27.068345832248855</v>
      </c>
      <c r="L23" s="195">
        <f>SUM(B23:K23)</f>
        <v>1114.7663677259134</v>
      </c>
    </row>
    <row r="24" spans="1:14" ht="20.25" customHeight="1" x14ac:dyDescent="0.25">
      <c r="A24" s="186" t="s">
        <v>273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187"/>
    </row>
    <row r="25" spans="1:14" ht="15" customHeight="1" x14ac:dyDescent="0.25">
      <c r="A25" s="158" t="s">
        <v>274</v>
      </c>
      <c r="B25" s="188">
        <f>SUM([23]M01!B24,[23]M02!B24,[23]M03!B24,[23]M04!B24,[23]M05!B24,[23]M06!B24,[23]M07!B24,[23]M08!B24,[23]M09!B24,[23]M10!B24,[23]M11!B24,[23]M12!B24)</f>
        <v>1048.6208183209003</v>
      </c>
      <c r="C25" s="189">
        <f>SUM([23]M01!C24,[23]M02!C24,[23]M03!C24,[23]M04!C24,[23]M05!C24,[23]M06!C24,[23]M07!C24,[23]M08!C24,[23]M09!C24,[23]M10!C24,[23]M11!C24,[23]M12!C24)</f>
        <v>2568.8146217008998</v>
      </c>
      <c r="D25" s="189">
        <f>SUM([23]M01!D24,[23]M02!D24,[23]M03!D24,[23]M04!D24,[23]M05!D24,[23]M06!D24,[23]M07!D24,[23]M08!D24,[23]M09!D24,[23]M10!D24,[23]M11!D24,[23]M12!D24)</f>
        <v>643.77464729949997</v>
      </c>
      <c r="E25" s="189">
        <f>SUM([23]M01!E24,[23]M02!E24,[23]M03!E24,[23]M04!E24,[23]M05!E24,[23]M06!E24,[23]M07!E24,[23]M08!E24,[23]M09!E24,[23]M10!E24,[23]M11!E24,[23]M12!E24)</f>
        <v>1714.1779951393003</v>
      </c>
      <c r="F25" s="189">
        <f>SUM([23]M01!F24,[23]M02!F24,[23]M03!F24,[23]M04!F24,[23]M05!F24,[23]M06!F24,[23]M07!F24,[23]M08!F24,[23]M09!F24,[23]M10!F24,[23]M11!F24,[23]M12!F24)</f>
        <v>1129.6215958787002</v>
      </c>
      <c r="G25" s="189">
        <f>SUM([23]M01!G24,[23]M02!G24,[23]M03!G24,[23]M04!G24,[23]M05!G24,[23]M06!G24,[23]M07!G24,[23]M08!G24,[23]M09!G24,[23]M10!G24,[23]M11!G24,[23]M12!G24)</f>
        <v>380.51457388800003</v>
      </c>
      <c r="H25" s="189">
        <f>SUM([23]M01!H24,[23]M02!H24,[23]M03!H24,[23]M04!H24,[23]M05!H24,[23]M06!H24,[23]M07!H24,[23]M08!H24,[23]M09!H24,[23]M10!H24,[23]M11!H24,[23]M12!H24)</f>
        <v>73.19184162019998</v>
      </c>
      <c r="I25" s="189">
        <f>SUM([23]M01!I24,[23]M02!I24,[23]M03!I24,[23]M04!I24,[23]M05!I24,[23]M06!I24,[23]M07!I24,[23]M08!I24,[23]M09!I24,[23]M10!I24,[23]M11!I24,[23]M12!I24)</f>
        <v>520.78903068780005</v>
      </c>
      <c r="J25" s="189">
        <f>SUM([23]M01!J24,[23]M02!J24,[23]M03!J24,[23]M04!J24,[23]M05!J24,[23]M06!J24,[23]M07!J24,[23]M08!J24,[23]M09!J24,[23]M10!J24,[23]M11!J24,[23]M12!J24)</f>
        <v>1892.7629248065998</v>
      </c>
      <c r="K25" s="190">
        <f>SUM([23]M01!K24,[23]M02!K24,[23]M03!K24,[23]M04!K24,[23]M05!K24,[23]M06!K24,[23]M07!K24,[23]M08!K24,[23]M09!K24,[23]M10!K24,[23]M11!K24,[23]M12!K24)</f>
        <v>1137.7367196443001</v>
      </c>
      <c r="L25" s="191">
        <f>SUM(B25:K25)</f>
        <v>11110.0047689862</v>
      </c>
    </row>
    <row r="26" spans="1:14" ht="15" customHeight="1" x14ac:dyDescent="0.25">
      <c r="A26" s="163" t="s">
        <v>275</v>
      </c>
      <c r="B26" s="192">
        <f>SUM([23]M01!B25,[23]M02!B25,[23]M03!B25,[23]M04!B25,[23]M05!B25,[23]M06!B25,[23]M07!B25,[23]M08!B25,[23]M09!B25,[23]M10!B25,[23]M11!B25,[23]M12!B25)</f>
        <v>231.78318960369998</v>
      </c>
      <c r="C26" s="193">
        <f>SUM([23]M01!C25,[23]M02!C25,[23]M03!C25,[23]M04!C25,[23]M05!C25,[23]M06!C25,[23]M07!C25,[23]M08!C25,[23]M09!C25,[23]M10!C25,[23]M11!C25,[23]M12!C25)</f>
        <v>0</v>
      </c>
      <c r="D26" s="193">
        <f>SUM([23]M01!D25,[23]M02!D25,[23]M03!D25,[23]M04!D25,[23]M05!D25,[23]M06!D25,[23]M07!D25,[23]M08!D25,[23]M09!D25,[23]M10!D25,[23]M11!D25,[23]M12!D25)</f>
        <v>0.4301114907000001</v>
      </c>
      <c r="E26" s="193">
        <f>SUM([23]M01!E25,[23]M02!E25,[23]M03!E25,[23]M04!E25,[23]M05!E25,[23]M06!E25,[23]M07!E25,[23]M08!E25,[23]M09!E25,[23]M10!E25,[23]M11!E25,[23]M12!E25)</f>
        <v>515.48947643420001</v>
      </c>
      <c r="F26" s="193">
        <f>SUM([23]M01!F25,[23]M02!F25,[23]M03!F25,[23]M04!F25,[23]M05!F25,[23]M06!F25,[23]M07!F25,[23]M08!F25,[23]M09!F25,[23]M10!F25,[23]M11!F25,[23]M12!F25)</f>
        <v>1621.5191503449998</v>
      </c>
      <c r="G26" s="193">
        <f>SUM([23]M01!G25,[23]M02!G25,[23]M03!G25,[23]M04!G25,[23]M05!G25,[23]M06!G25,[23]M07!G25,[23]M08!G25,[23]M09!G25,[23]M10!G25,[23]M11!G25,[23]M12!G25)</f>
        <v>1124.4854111734999</v>
      </c>
      <c r="H26" s="193">
        <f>SUM([23]M01!H25,[23]M02!H25,[23]M03!H25,[23]M04!H25,[23]M05!H25,[23]M06!H25,[23]M07!H25,[23]M08!H25,[23]M09!H25,[23]M10!H25,[23]M11!H25,[23]M12!H25)</f>
        <v>5365.9099868096</v>
      </c>
      <c r="I26" s="193">
        <f>SUM([23]M01!I25,[23]M02!I25,[23]M03!I25,[23]M04!I25,[23]M05!I25,[23]M06!I25,[23]M07!I25,[23]M08!I25,[23]M09!I25,[23]M10!I25,[23]M11!I25,[23]M12!I25)</f>
        <v>7.8375237439999994</v>
      </c>
      <c r="J26" s="193">
        <f>SUM([23]M01!J25,[23]M02!J25,[23]M03!J25,[23]M04!J25,[23]M05!J25,[23]M06!J25,[23]M07!J25,[23]M08!J25,[23]M09!J25,[23]M10!J25,[23]M11!J25,[23]M12!J25)</f>
        <v>660.77982218780005</v>
      </c>
      <c r="K26" s="194">
        <f>SUM([23]M01!K25,[23]M02!K25,[23]M03!K25,[23]M04!K25,[23]M05!K25,[23]M06!K25,[23]M07!K25,[23]M08!K25,[23]M09!K25,[23]M10!K25,[23]M11!K25,[23]M12!K25)</f>
        <v>237.11870949049998</v>
      </c>
      <c r="L26" s="195">
        <f>SUM(B26:K26)</f>
        <v>9765.3533812789992</v>
      </c>
    </row>
    <row r="27" spans="1:14" ht="9.9499999999999993" customHeight="1" x14ac:dyDescent="0.25"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7"/>
      <c r="N27" s="198"/>
    </row>
    <row r="28" spans="1:14" ht="20.25" customHeight="1" x14ac:dyDescent="0.25">
      <c r="A28" s="186" t="s">
        <v>276</v>
      </c>
      <c r="L28" s="187"/>
      <c r="N28" s="198"/>
    </row>
    <row r="29" spans="1:14" ht="15" customHeight="1" x14ac:dyDescent="0.25">
      <c r="A29" s="199" t="s">
        <v>218</v>
      </c>
      <c r="B29" s="200">
        <f>SUM([23]M01!B27*$B$14,[23]M02!B27*$C$14,[23]M03!B27*$D$14,[23]M04!B27*$E$14,[23]M05!B27*$F$14,[23]M06!B27*$G$14,[23]M07!B27*$H$14,[23]M08!B27*$I$14,[23]M09!B27*$J$14,[23]M10!B27*$K$14,[23]M11!B27*$L$14,[23]M12!B27*$M$14)/$N$14</f>
        <v>1.6549519624609643</v>
      </c>
      <c r="C29" s="201">
        <f>SUM([23]M01!C27*$B$14,[23]M02!C27*$C$14,[23]M03!C27*$D$14,[23]M04!C27*$E$14,[23]M05!C27*$F$14,[23]M06!C27*$G$14,[23]M07!C27*$H$14,[23]M08!C27*$I$14,[23]M09!C27*$J$14,[23]M10!C27*$K$14,[23]M11!C27*$L$14,[23]M12!C27*$M$14)/$N$14</f>
        <v>2.9049920107852287</v>
      </c>
      <c r="D29" s="201">
        <f>SUM([23]M01!D27*$B$14,[23]M02!D27*$C$14,[23]M03!D27*$D$14,[23]M04!D27*$E$14,[23]M05!D27*$F$14,[23]M06!D27*$G$14,[23]M07!D27*$H$14,[23]M08!D27*$I$14,[23]M09!D27*$J$14,[23]M10!D27*$K$14,[23]M11!D27*$L$14,[23]M12!D27*$M$14)/$N$14</f>
        <v>2.0534045013449798</v>
      </c>
      <c r="E29" s="201">
        <f>SUM([23]M01!E27*$B$14,[23]M02!E27*$C$14,[23]M03!E27*$D$14,[23]M04!E27*$E$14,[23]M05!E27*$F$14,[23]M06!E27*$G$14,[23]M07!E27*$H$14,[23]M08!E27*$I$14,[23]M09!E27*$J$14,[23]M10!E27*$K$14,[23]M11!E27*$L$14,[23]M12!E27*$M$14)/$N$14</f>
        <v>2.06796282259746</v>
      </c>
      <c r="F29" s="201">
        <f>SUM([23]M01!F27*$B$14,[23]M02!F27*$C$14,[23]M03!F27*$D$14,[23]M04!F27*$E$14,[23]M05!F27*$F$14,[23]M06!F27*$G$14,[23]M07!F27*$H$14,[23]M08!F27*$I$14,[23]M09!F27*$J$14,[23]M10!F27*$K$14,[23]M11!F27*$L$14,[23]M12!F27*$M$14)/$N$14</f>
        <v>1.3386591975595854</v>
      </c>
      <c r="G29" s="201">
        <f>SUM([23]M01!G27*$B$14,[23]M02!G27*$C$14,[23]M03!G27*$D$14,[23]M04!G27*$E$14,[23]M05!G27*$F$14,[23]M06!G27*$G$14,[23]M07!G27*$H$14,[23]M08!G27*$I$14,[23]M09!G27*$J$14,[23]M10!G27*$K$14,[23]M11!G27*$L$14,[23]M12!G27*$M$14)/$N$14</f>
        <v>0.21038119272384159</v>
      </c>
      <c r="H29" s="201">
        <f>SUM([23]M01!H27*$B$14,[23]M02!H27*$C$14,[23]M03!H27*$D$14,[23]M04!H27*$E$14,[23]M05!H27*$F$14,[23]M06!H27*$G$14,[23]M07!H27*$H$14,[23]M08!H27*$I$14,[23]M09!H27*$J$14,[23]M10!H27*$K$14,[23]M11!H27*$L$14,[23]M12!H27*$M$14)/$N$14</f>
        <v>7.2823345860619892E-2</v>
      </c>
      <c r="I29" s="201">
        <f>SUM([23]M01!I27*$B$14,[23]M02!I27*$C$14,[23]M03!I27*$D$14,[23]M04!I27*$E$14,[23]M05!I27*$F$14,[23]M06!I27*$G$14,[23]M07!I27*$H$14,[23]M08!I27*$I$14,[23]M09!I27*$J$14,[23]M10!I27*$K$14,[23]M11!I27*$L$14,[23]M12!I27*$M$14)/$N$14</f>
        <v>0.75958939112913915</v>
      </c>
      <c r="J29" s="201">
        <f>SUM([23]M01!J27*$B$14,[23]M02!J27*$C$14,[23]M03!J27*$D$14,[23]M04!J27*$E$14,[23]M05!J27*$F$14,[23]M06!J27*$G$14,[23]M07!J27*$H$14,[23]M08!J27*$I$14,[23]M09!J27*$J$14,[23]M10!J27*$K$14,[23]M11!J27*$L$14,[23]M12!J27*$M$14)/$N$14</f>
        <v>0.26108893875795919</v>
      </c>
      <c r="K29" s="202">
        <f>SUM([23]M01!K27*$B$14,[23]M02!K27*$C$14,[23]M03!K27*$D$14,[23]M04!K27*$E$14,[23]M05!K27*$F$14,[23]M06!K27*$G$14,[23]M07!K27*$H$14,[23]M08!K27*$I$14,[23]M09!K27*$J$14,[23]M10!K27*$K$14,[23]M11!K27*$L$14,[23]M12!K27*$M$14)/$N$14</f>
        <v>3.1188883349418788</v>
      </c>
      <c r="L29" s="187"/>
      <c r="N29" s="198"/>
    </row>
    <row r="30" spans="1:14" ht="15" customHeight="1" x14ac:dyDescent="0.25">
      <c r="A30" s="203" t="s">
        <v>277</v>
      </c>
      <c r="B30" s="204">
        <f>SUM([23]M01!B28*$B$14,[23]M02!B28*$C$14,[23]M03!B28*$D$14,[23]M04!B28*$E$14,[23]M05!B28*$F$14,[23]M06!B28*$G$14,[23]M07!B28*$H$14,[23]M08!B28*$I$14,[23]M09!B28*$J$14,[23]M10!B28*$K$14,[23]M11!B28*$L$14,[23]M12!B28*$M$14)/$N$14</f>
        <v>3.0875252643974553E-2</v>
      </c>
      <c r="C30" s="205">
        <f>SUM([23]M01!C28*$B$14,[23]M02!C28*$C$14,[23]M03!C28*$D$14,[23]M04!C28*$E$14,[23]M05!C28*$F$14,[23]M06!C28*$G$14,[23]M07!C28*$H$14,[23]M08!C28*$I$14,[23]M09!C28*$J$14,[23]M10!C28*$K$14,[23]M11!C28*$L$14,[23]M12!C28*$M$14)/$N$14</f>
        <v>0</v>
      </c>
      <c r="D30" s="205">
        <f>SUM([23]M01!D28*$B$14,[23]M02!D28*$C$14,[23]M03!D28*$D$14,[23]M04!D28*$E$14,[23]M05!D28*$F$14,[23]M06!D28*$G$14,[23]M07!D28*$H$14,[23]M08!D28*$I$14,[23]M09!D28*$J$14,[23]M10!D28*$K$14,[23]M11!D28*$L$14,[23]M12!D28*$M$14)/$N$14</f>
        <v>0</v>
      </c>
      <c r="E30" s="205">
        <f>SUM([23]M01!E28*$B$14,[23]M02!E28*$C$14,[23]M03!E28*$D$14,[23]M04!E28*$E$14,[23]M05!E28*$F$14,[23]M06!E28*$G$14,[23]M07!E28*$H$14,[23]M08!E28*$I$14,[23]M09!E28*$J$14,[23]M10!E28*$K$14,[23]M11!E28*$L$14,[23]M12!E28*$M$14)/$N$14</f>
        <v>0.38163975024419844</v>
      </c>
      <c r="F30" s="205">
        <f>SUM([23]M01!F28*$B$14,[23]M02!F28*$C$14,[23]M03!F28*$D$14,[23]M04!F28*$E$14,[23]M05!F28*$F$14,[23]M06!F28*$G$14,[23]M07!F28*$H$14,[23]M08!F28*$I$14,[23]M09!F28*$J$14,[23]M10!F28*$K$14,[23]M11!F28*$L$14,[23]M12!F28*$M$14)/$N$14</f>
        <v>0.91705333793927069</v>
      </c>
      <c r="G30" s="205">
        <f>SUM([23]M01!G28*$B$14,[23]M02!G28*$C$14,[23]M03!G28*$D$14,[23]M04!G28*$E$14,[23]M05!G28*$F$14,[23]M06!G28*$G$14,[23]M07!G28*$H$14,[23]M08!G28*$I$14,[23]M09!G28*$J$14,[23]M10!G28*$K$14,[23]M11!G28*$L$14,[23]M12!G28*$M$14)/$N$14</f>
        <v>1.1269201375464453</v>
      </c>
      <c r="H30" s="205">
        <f>SUM([23]M01!H28*$B$14,[23]M02!H28*$C$14,[23]M03!H28*$D$14,[23]M04!H28*$E$14,[23]M05!H28*$F$14,[23]M06!H28*$G$14,[23]M07!H28*$H$14,[23]M08!H28*$I$14,[23]M09!H28*$J$14,[23]M10!H28*$K$14,[23]M11!H28*$L$14,[23]M12!H28*$M$14)/$N$14</f>
        <v>0.85192173725580145</v>
      </c>
      <c r="I30" s="205">
        <f>SUM([23]M01!I28*$B$14,[23]M02!I28*$C$14,[23]M03!I28*$D$14,[23]M04!I28*$E$14,[23]M05!I28*$F$14,[23]M06!I28*$G$14,[23]M07!I28*$H$14,[23]M08!I28*$I$14,[23]M09!I28*$J$14,[23]M10!I28*$K$14,[23]M11!I28*$L$14,[23]M12!I28*$M$14)/$N$14</f>
        <v>0</v>
      </c>
      <c r="J30" s="205">
        <f>SUM([23]M01!J28*$B$14,[23]M02!J28*$C$14,[23]M03!J28*$D$14,[23]M04!J28*$E$14,[23]M05!J28*$F$14,[23]M06!J28*$G$14,[23]M07!J28*$H$14,[23]M08!J28*$I$14,[23]M09!J28*$J$14,[23]M10!J28*$K$14,[23]M11!J28*$L$14,[23]M12!J28*$M$14)/$N$14</f>
        <v>1.3991584100062464</v>
      </c>
      <c r="K30" s="206">
        <f>SUM([23]M01!K28*$B$14,[23]M02!K28*$C$14,[23]M03!K28*$D$14,[23]M04!K28*$E$14,[23]M05!K28*$F$14,[23]M06!K28*$G$14,[23]M07!K28*$H$14,[23]M08!K28*$I$14,[23]M09!K28*$J$14,[23]M10!K28*$K$14,[23]M11!K28*$L$14,[23]M12!K28*$M$14)/$N$14</f>
        <v>9.5298643300229038E-2</v>
      </c>
      <c r="L30" s="187"/>
      <c r="N30" s="198"/>
    </row>
    <row r="31" spans="1:14" ht="20.25" customHeight="1" x14ac:dyDescent="0.25">
      <c r="A31" s="186" t="s">
        <v>278</v>
      </c>
      <c r="L31" s="187"/>
      <c r="N31" s="198"/>
    </row>
    <row r="32" spans="1:14" ht="15" customHeight="1" x14ac:dyDescent="0.25">
      <c r="A32" s="207" t="s">
        <v>279</v>
      </c>
      <c r="B32" s="208">
        <f>SUM([23]M01!B30,[23]M02!B30,[23]M03!B30,[23]M04!B30,[23]M05!B30,[23]M06!B30,[23]M07!B30,[23]M08!B30,[23]M09!B30,[23]M10!B30,[23]M11!B30,[23]M12!B30)</f>
        <v>7.6003475092699109</v>
      </c>
      <c r="L32" s="187"/>
      <c r="N32" s="198"/>
    </row>
    <row r="33" spans="1:14" ht="15" customHeight="1" x14ac:dyDescent="0.25">
      <c r="A33" s="209" t="s">
        <v>280</v>
      </c>
      <c r="B33" s="210">
        <f>SUM([23]M01!B31,[23]M02!B31,[23]M03!B31,[23]M04!B31,[23]M05!B31,[23]M06!B31,[23]M07!B31,[23]M08!B31,[23]M09!B31,[23]M10!B31,[23]M11!B31,[23]M12!B31)</f>
        <v>5.1343053761314534</v>
      </c>
      <c r="L33" s="187"/>
      <c r="N33" s="198"/>
    </row>
    <row r="34" spans="1:14" ht="20.25" hidden="1" customHeight="1" x14ac:dyDescent="0.25">
      <c r="A34" s="186" t="s">
        <v>281</v>
      </c>
      <c r="L34" s="187"/>
      <c r="N34" s="198"/>
    </row>
    <row r="35" spans="1:14" ht="15" hidden="1" customHeight="1" x14ac:dyDescent="0.25">
      <c r="A35" s="207" t="s">
        <v>279</v>
      </c>
      <c r="B35" s="208" t="e">
        <f>SUM([23]M01!#REF!,[23]M02!#REF!,[23]M03!#REF!,[23]M04!#REF!,[23]M05!#REF!,[23]M06!#REF!,[23]M07!#REF!,[23]M08!#REF!,[23]M09!#REF!,[23]M10!#REF!,[23]M11!#REF!,[23]M12!#REF!)</f>
        <v>#REF!</v>
      </c>
      <c r="L35" s="187"/>
      <c r="N35" s="198"/>
    </row>
    <row r="36" spans="1:14" ht="15" hidden="1" customHeight="1" x14ac:dyDescent="0.25">
      <c r="A36" s="209" t="s">
        <v>280</v>
      </c>
      <c r="B36" s="210" t="e">
        <f>SUM([23]M01!#REF!,[23]M02!#REF!,[23]M03!#REF!,[23]M04!#REF!,[23]M05!#REF!,[23]M06!#REF!,[23]M07!#REF!,[23]M08!#REF!,[23]M09!#REF!,[23]M10!#REF!,[23]M11!#REF!,[23]M12!#REF!)</f>
        <v>#REF!</v>
      </c>
      <c r="L36" s="187"/>
      <c r="N36" s="198"/>
    </row>
    <row r="37" spans="1:14" ht="20.25" customHeight="1" x14ac:dyDescent="0.25">
      <c r="A37" s="186" t="s">
        <v>282</v>
      </c>
      <c r="L37" s="187"/>
      <c r="N37" s="198"/>
    </row>
    <row r="38" spans="1:14" ht="15" customHeight="1" x14ac:dyDescent="0.25">
      <c r="A38" s="211" t="s">
        <v>277</v>
      </c>
      <c r="B38" s="212">
        <f>SUM([23]M01!B33*$B$14,[23]M02!B33*$C$14,[23]M03!B33*$D$14,[23]M04!B33*$E$14,[23]M05!B33*$F$14,[23]M06!B33*$G$14,[23]M07!B33*$H$14,[23]M08!B33*$I$14,[23]M09!B33*$J$14,[23]M10!B33*$K$14,[23]M11!B33*$L$14,[23]M12!B33*$M$14)/$N$14</f>
        <v>0</v>
      </c>
      <c r="C38" s="213">
        <f>SUM([23]M01!C33*$B$14,[23]M02!C33*$C$14,[23]M03!C33*$D$14,[23]M04!C33*$E$14,[23]M05!C33*$F$14,[23]M06!C33*$G$14,[23]M07!C33*$H$14,[23]M08!C33*$I$14,[23]M09!C33*$J$14,[23]M10!C33*$K$14,[23]M11!C33*$L$14,[23]M12!C33*$M$14)/$N$14</f>
        <v>0</v>
      </c>
      <c r="D38" s="213">
        <f>SUM([23]M01!D33*$B$14,[23]M02!D33*$C$14,[23]M03!D33*$D$14,[23]M04!D33*$E$14,[23]M05!D33*$F$14,[23]M06!D33*$G$14,[23]M07!D33*$H$14,[23]M08!D33*$I$14,[23]M09!D33*$J$14,[23]M10!D33*$K$14,[23]M11!D33*$L$14,[23]M12!D33*$M$14)/$N$14</f>
        <v>0</v>
      </c>
      <c r="E38" s="213">
        <f>SUM([23]M01!E33*$B$14,[23]M02!E33*$C$14,[23]M03!E33*$D$14,[23]M04!E33*$E$14,[23]M05!E33*$F$14,[23]M06!E33*$G$14,[23]M07!E33*$H$14,[23]M08!E33*$I$14,[23]M09!E33*$J$14,[23]M10!E33*$K$14,[23]M11!E33*$L$14,[23]M12!E33*$M$14)/$N$14</f>
        <v>0</v>
      </c>
      <c r="F38" s="213">
        <f>SUM([23]M01!F33*$B$14,[23]M02!F33*$C$14,[23]M03!F33*$D$14,[23]M04!F33*$E$14,[23]M05!F33*$F$14,[23]M06!F33*$G$14,[23]M07!F33*$H$14,[23]M08!F33*$I$14,[23]M09!F33*$J$14,[23]M10!F33*$K$14,[23]M11!F33*$L$14,[23]M12!F33*$M$14)/$N$14</f>
        <v>0.70523435308371163</v>
      </c>
      <c r="G38" s="213">
        <f>SUM([23]M01!G33*$B$14,[23]M02!G33*$C$14,[23]M03!G33*$D$14,[23]M04!G33*$E$14,[23]M05!G33*$F$14,[23]M06!G33*$G$14,[23]M07!G33*$H$14,[23]M08!G33*$I$14,[23]M09!G33*$J$14,[23]M10!G33*$K$14,[23]M11!G33*$L$14,[23]M12!G33*$M$14)/$N$14</f>
        <v>1.5474478785753465</v>
      </c>
      <c r="H38" s="213">
        <f>SUM([23]M01!H33*$B$14,[23]M02!H33*$C$14,[23]M03!H33*$D$14,[23]M04!H33*$E$14,[23]M05!H33*$F$14,[23]M06!H33*$G$14,[23]M07!H33*$H$14,[23]M08!H33*$I$14,[23]M09!H33*$J$14,[23]M10!H33*$K$14,[23]M11!H33*$L$14,[23]M12!H33*$M$14)/$N$14</f>
        <v>1.0585770090011968</v>
      </c>
      <c r="I38" s="213">
        <f>SUM([23]M01!I33*$B$14,[23]M02!I33*$C$14,[23]M03!I33*$D$14,[23]M04!I33*$E$14,[23]M05!I33*$F$14,[23]M06!I33*$G$14,[23]M07!I33*$H$14,[23]M08!I33*$I$14,[23]M09!I33*$J$14,[23]M10!I33*$K$14,[23]M11!I33*$L$14,[23]M12!I33*$M$14)/$N$14</f>
        <v>0</v>
      </c>
      <c r="J38" s="213">
        <f>SUM([23]M01!J33*$B$14,[23]M02!J33*$C$14,[23]M03!J33*$D$14,[23]M04!J33*$E$14,[23]M05!J33*$F$14,[23]M06!J33*$G$14,[23]M07!J33*$H$14,[23]M08!J33*$I$14,[23]M09!J33*$J$14,[23]M10!J33*$K$14,[23]M11!J33*$L$14,[23]M12!J33*$M$14)/$N$14</f>
        <v>1.4261062223768863</v>
      </c>
      <c r="K38" s="214">
        <f>SUM([23]M01!K33*$B$14,[23]M02!K33*$C$14,[23]M03!K33*$D$14,[23]M04!K33*$E$14,[23]M05!K33*$F$14,[23]M06!K33*$G$14,[23]M07!K33*$H$14,[23]M08!K33*$I$14,[23]M09!K33*$J$14,[23]M10!K33*$K$14,[23]M11!K33*$L$14,[23]M12!K33*$M$14)/$N$14</f>
        <v>0</v>
      </c>
      <c r="L38" s="187"/>
      <c r="N38" s="198"/>
    </row>
    <row r="39" spans="1:14" ht="20.25" customHeight="1" x14ac:dyDescent="0.25">
      <c r="A39" s="186" t="s">
        <v>283</v>
      </c>
      <c r="L39" s="187"/>
      <c r="N39" s="198"/>
    </row>
    <row r="40" spans="1:14" ht="15" customHeight="1" x14ac:dyDescent="0.25">
      <c r="A40" s="209" t="s">
        <v>280</v>
      </c>
      <c r="B40" s="210">
        <f>SUM([23]M01!I34,[23]M02!I34,[23]M03!I34,[23]M04!I34,[23]M05!I34,[23]M06!I34,[23]M07!I34,[23]M08!I34,[23]M09!I34,[23]M10!I34,[23]M11!I34,[23]M12!I34)</f>
        <v>19.066939883460957</v>
      </c>
      <c r="L40" s="187"/>
      <c r="N40" s="198"/>
    </row>
    <row r="41" spans="1:14" ht="9.9499999999999993" customHeight="1" x14ac:dyDescent="0.25">
      <c r="L41" s="187"/>
      <c r="N41" s="198"/>
    </row>
    <row r="42" spans="1:14" ht="9.9499999999999993" customHeight="1" thickBot="1" x14ac:dyDescent="0.3">
      <c r="L42" s="187"/>
      <c r="N42" s="198"/>
    </row>
    <row r="43" spans="1:14" ht="20.25" customHeight="1" thickTop="1" x14ac:dyDescent="0.25">
      <c r="A43" s="215" t="s">
        <v>284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7"/>
      <c r="L43" s="218"/>
      <c r="N43" s="198"/>
    </row>
    <row r="44" spans="1:14" ht="15" customHeight="1" x14ac:dyDescent="0.25">
      <c r="A44" s="219" t="s">
        <v>218</v>
      </c>
      <c r="B44" s="430">
        <f>IFERROR(B54/B25,0)</f>
        <v>1.5486442817922423</v>
      </c>
      <c r="C44" s="431">
        <f t="shared" ref="C44:K44" si="0">IFERROR(C54/C25,0)</f>
        <v>2.7469214204767338</v>
      </c>
      <c r="D44" s="431">
        <f t="shared" si="0"/>
        <v>1.9444373598796962</v>
      </c>
      <c r="E44" s="431">
        <f t="shared" si="0"/>
        <v>1.9968435177796096</v>
      </c>
      <c r="F44" s="431">
        <f t="shared" si="0"/>
        <v>1.4648665311921569</v>
      </c>
      <c r="G44" s="431">
        <f t="shared" si="0"/>
        <v>0.36094035834383037</v>
      </c>
      <c r="H44" s="431">
        <f t="shared" si="0"/>
        <v>0.2037158481113269</v>
      </c>
      <c r="I44" s="431">
        <f t="shared" si="0"/>
        <v>1.0461408438380322</v>
      </c>
      <c r="J44" s="431">
        <f t="shared" si="0"/>
        <v>0.28907009688802937</v>
      </c>
      <c r="K44" s="432">
        <f t="shared" si="0"/>
        <v>2.8291808260061577</v>
      </c>
      <c r="L44" s="218"/>
      <c r="N44" s="198"/>
    </row>
    <row r="45" spans="1:14" ht="15" customHeight="1" x14ac:dyDescent="0.25">
      <c r="A45" s="223" t="s">
        <v>277</v>
      </c>
      <c r="B45" s="433">
        <f t="shared" ref="B45:K45" si="1">IFERROR(B55/B26,0)</f>
        <v>2.4784509200028299E-2</v>
      </c>
      <c r="C45" s="433">
        <f t="shared" si="1"/>
        <v>0</v>
      </c>
      <c r="D45" s="433">
        <f t="shared" si="1"/>
        <v>0</v>
      </c>
      <c r="E45" s="433">
        <f t="shared" si="1"/>
        <v>0.37419074575537092</v>
      </c>
      <c r="F45" s="433">
        <f t="shared" si="1"/>
        <v>0.92659859908739184</v>
      </c>
      <c r="G45" s="433">
        <f t="shared" si="1"/>
        <v>1.1054003266205488</v>
      </c>
      <c r="H45" s="433">
        <f t="shared" si="1"/>
        <v>0.84168036937526547</v>
      </c>
      <c r="I45" s="433">
        <f t="shared" si="1"/>
        <v>0</v>
      </c>
      <c r="J45" s="433">
        <f t="shared" si="1"/>
        <v>1.3395602146888421</v>
      </c>
      <c r="K45" s="434">
        <f t="shared" si="1"/>
        <v>9.655321401079936E-2</v>
      </c>
      <c r="L45" s="218"/>
      <c r="N45" s="198"/>
    </row>
    <row r="46" spans="1:14" ht="20.25" customHeight="1" x14ac:dyDescent="0.2">
      <c r="A46" s="226" t="s">
        <v>285</v>
      </c>
      <c r="B46" s="227"/>
      <c r="C46" s="227"/>
      <c r="D46" s="227"/>
      <c r="E46" s="227"/>
      <c r="F46" s="227"/>
      <c r="G46" s="227"/>
      <c r="H46" s="227"/>
      <c r="I46" s="228"/>
      <c r="J46" s="228"/>
      <c r="K46" s="229"/>
      <c r="L46" s="218"/>
      <c r="N46" s="230"/>
    </row>
    <row r="47" spans="1:14" ht="15" customHeight="1" x14ac:dyDescent="0.25">
      <c r="A47" s="231" t="s">
        <v>279</v>
      </c>
      <c r="B47" s="232">
        <f>B32</f>
        <v>7.6003475092699109</v>
      </c>
      <c r="C47" s="233"/>
      <c r="D47" s="233"/>
      <c r="E47" s="228"/>
      <c r="F47" s="228"/>
      <c r="G47" s="228"/>
      <c r="H47" s="227"/>
      <c r="I47" s="228"/>
      <c r="J47" s="228"/>
      <c r="K47" s="229"/>
      <c r="L47" s="218"/>
      <c r="N47" s="234"/>
    </row>
    <row r="48" spans="1:14" ht="15" customHeight="1" x14ac:dyDescent="0.25">
      <c r="A48" s="235" t="s">
        <v>280</v>
      </c>
      <c r="B48" s="236">
        <f>B33+B40</f>
        <v>24.201245259592412</v>
      </c>
      <c r="C48" s="233"/>
      <c r="D48" s="233"/>
      <c r="E48" s="228"/>
      <c r="F48" s="228"/>
      <c r="G48" s="228"/>
      <c r="H48" s="227"/>
      <c r="I48" s="228"/>
      <c r="J48" s="228"/>
      <c r="K48" s="229"/>
      <c r="L48" s="218"/>
      <c r="N48" s="234"/>
    </row>
    <row r="49" spans="1:14" ht="9.9499999999999993" customHeight="1" thickBot="1" x14ac:dyDescent="0.3">
      <c r="A49" s="237"/>
      <c r="B49" s="238"/>
      <c r="C49" s="239"/>
      <c r="D49" s="239"/>
      <c r="E49" s="239"/>
      <c r="F49" s="239"/>
      <c r="G49" s="239"/>
      <c r="H49" s="239"/>
      <c r="I49" s="239"/>
      <c r="J49" s="239"/>
      <c r="K49" s="240"/>
      <c r="L49" s="218"/>
      <c r="N49" s="198"/>
    </row>
    <row r="50" spans="1:14" ht="9.9499999999999993" customHeight="1" thickTop="1" x14ac:dyDescent="0.25">
      <c r="B50" s="241"/>
      <c r="L50" s="187"/>
      <c r="N50" s="198"/>
    </row>
    <row r="51" spans="1:14" ht="20.25" customHeight="1" x14ac:dyDescent="0.25">
      <c r="A51" s="242" t="s">
        <v>286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4">
        <f>ROUND(SUM(L54:L55,L57:L58),3)</f>
        <v>59710.152999999998</v>
      </c>
      <c r="M51" s="244">
        <f>ROUND(B3,3)</f>
        <v>59710.152999999998</v>
      </c>
      <c r="N51" s="198"/>
    </row>
    <row r="52" spans="1:14" ht="20.25" customHeight="1" x14ac:dyDescent="0.25">
      <c r="A52" s="245" t="s">
        <v>287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197"/>
      <c r="M52" s="246">
        <f>M53+M56</f>
        <v>0.99999999733629896</v>
      </c>
      <c r="N52" s="198"/>
    </row>
    <row r="53" spans="1:14" ht="20.25" customHeight="1" x14ac:dyDescent="0.25">
      <c r="A53" s="247" t="s">
        <v>20</v>
      </c>
      <c r="B53" s="248">
        <v>1</v>
      </c>
      <c r="C53" s="249">
        <v>2</v>
      </c>
      <c r="D53" s="249">
        <v>3</v>
      </c>
      <c r="E53" s="249">
        <v>4</v>
      </c>
      <c r="F53" s="249">
        <v>5</v>
      </c>
      <c r="G53" s="249">
        <v>6</v>
      </c>
      <c r="H53" s="249">
        <v>7</v>
      </c>
      <c r="I53" s="249">
        <v>8</v>
      </c>
      <c r="J53" s="249">
        <v>9</v>
      </c>
      <c r="K53" s="250">
        <v>10</v>
      </c>
      <c r="L53" s="251">
        <f>L54+L55</f>
        <v>27841.388232730242</v>
      </c>
      <c r="M53" s="246">
        <f>L53/$M$51</f>
        <v>0.46627561367545384</v>
      </c>
      <c r="N53" s="252"/>
    </row>
    <row r="54" spans="1:14" ht="15" customHeight="1" x14ac:dyDescent="0.25">
      <c r="A54" s="253" t="s">
        <v>218</v>
      </c>
      <c r="B54" s="254">
        <f>SUM([23]M01!B38,[23]M02!B38,[23]M03!B38,[23]M04!B38,[23]M05!B38,[23]M06!B38,[23]M07!B38,[23]M08!B38,[23]M09!B38,[23]M10!B38,[23]M11!B38,[23]M12!B38)</f>
        <v>1623.9406340609642</v>
      </c>
      <c r="C54" s="255">
        <f>SUM([23]M01!C38,[23]M02!C38,[23]M03!C38,[23]M04!C38,[23]M05!C38,[23]M06!C38,[23]M07!C38,[23]M08!C38,[23]M09!C38,[23]M10!C38,[23]M11!C38,[23]M12!C38)</f>
        <v>7056.3319095840397</v>
      </c>
      <c r="D54" s="255">
        <f>SUM([23]M01!D38,[23]M02!D38,[23]M03!D38,[23]M04!D38,[23]M05!D38,[23]M06!D38,[23]M07!D38,[23]M08!D38,[23]M09!D38,[23]M10!D38,[23]M11!D38,[23]M12!D38)</f>
        <v>1251.7794755525224</v>
      </c>
      <c r="E54" s="255">
        <f>SUM([23]M01!E38,[23]M02!E38,[23]M03!E38,[23]M04!E38,[23]M05!E38,[23]M06!E38,[23]M07!E38,[23]M08!E38,[23]M09!E38,[23]M10!E38,[23]M11!E38,[23]M12!E38)</f>
        <v>3422.9452179143586</v>
      </c>
      <c r="F54" s="255">
        <f>SUM([23]M01!F38,[23]M02!F38,[23]M03!F38,[23]M04!F38,[23]M05!F38,[23]M06!F38,[23]M07!F38,[23]M08!F38,[23]M09!F38,[23]M10!F38,[23]M11!F38,[23]M12!F38)</f>
        <v>1654.74486871458</v>
      </c>
      <c r="G54" s="255">
        <f>SUM([23]M01!G38,[23]M02!G38,[23]M03!G38,[23]M04!G38,[23]M05!G38,[23]M06!G38,[23]M07!G38,[23]M08!G38,[23]M09!G38,[23]M10!G38,[23]M11!G38,[23]M12!G38)</f>
        <v>137.34306665418464</v>
      </c>
      <c r="H54" s="255">
        <f>SUM([23]M01!H38,[23]M02!H38,[23]M03!H38,[23]M04!H38,[23]M05!H38,[23]M06!H38,[23]M07!H38,[23]M08!H38,[23]M09!H38,[23]M10!H38,[23]M11!H38,[23]M12!H38)</f>
        <v>14.910338090488954</v>
      </c>
      <c r="I54" s="255">
        <f>SUM([23]M01!I38,[23]M02!I38,[23]M03!I38,[23]M04!I38,[23]M05!I38,[23]M06!I38,[23]M07!I38,[23]M08!I38,[23]M09!I38,[23]M10!I38,[23]M11!I38,[23]M12!I38)</f>
        <v>544.818676025326</v>
      </c>
      <c r="J54" s="255">
        <f>SUM([23]M01!J38,[23]M02!J38,[23]M03!J38,[23]M04!J38,[23]M05!J38,[23]M06!J38,[23]M07!J38,[23]M08!J38,[23]M09!J38,[23]M10!J38,[23]M11!J38,[23]M12!J38)</f>
        <v>547.14116205991365</v>
      </c>
      <c r="K54" s="256">
        <f>SUM([23]M01!K38,[23]M02!K38,[23]M03!K38,[23]M04!K38,[23]M05!K38,[23]M06!K38,[23]M07!K38,[23]M08!K38,[23]M09!K38,[23]M10!K38,[23]M11!K38,[23]M12!K38)</f>
        <v>3218.8629122607972</v>
      </c>
      <c r="L54" s="257">
        <f>SUM(B54:K54)</f>
        <v>19472.818260917178</v>
      </c>
      <c r="M54" s="258">
        <f>L54/(L55+L54)</f>
        <v>0.6994198025666335</v>
      </c>
      <c r="N54" s="259"/>
    </row>
    <row r="55" spans="1:14" ht="15" customHeight="1" x14ac:dyDescent="0.25">
      <c r="A55" s="260" t="s">
        <v>277</v>
      </c>
      <c r="B55" s="261">
        <f>SUM([23]M01!B39,[23]M02!B39,[23]M03!B39,[23]M04!B39,[23]M05!B39,[23]M06!B39,[23]M07!B39,[23]M08!B39,[23]M09!B39,[23]M10!B39,[23]M11!B39,[23]M12!B39)</f>
        <v>5.7446325951448056</v>
      </c>
      <c r="C55" s="262">
        <f>SUM([23]M01!C39,[23]M02!C39,[23]M03!C39,[23]M04!C39,[23]M05!C39,[23]M06!C39,[23]M07!C39,[23]M08!C39,[23]M09!C39,[23]M10!C39,[23]M11!C39,[23]M12!C39)</f>
        <v>0</v>
      </c>
      <c r="D55" s="262">
        <f>SUM([23]M01!D39,[23]M02!D39,[23]M03!D39,[23]M04!D39,[23]M05!D39,[23]M06!D39,[23]M07!D39,[23]M08!D39,[23]M09!D39,[23]M10!D39,[23]M11!D39,[23]M12!D39)</f>
        <v>0</v>
      </c>
      <c r="E55" s="262">
        <f>SUM([23]M01!E39,[23]M02!E39,[23]M03!E39,[23]M04!E39,[23]M05!E39,[23]M06!E39,[23]M07!E39,[23]M08!E39,[23]M09!E39,[23]M10!E39,[23]M11!E39,[23]M12!E39)</f>
        <v>192.89139161595901</v>
      </c>
      <c r="F55" s="262">
        <f>SUM([23]M01!F39,[23]M02!F39,[23]M03!F39,[23]M04!F39,[23]M05!F39,[23]M06!F39,[23]M07!F39,[23]M08!F39,[23]M09!F39,[23]M10!F39,[23]M11!F39,[23]M12!F39)</f>
        <v>1502.4973731030548</v>
      </c>
      <c r="G55" s="262">
        <f>SUM([23]M01!G39,[23]M02!G39,[23]M03!G39,[23]M04!G39,[23]M05!G39,[23]M06!G39,[23]M07!G39,[23]M08!G39,[23]M09!G39,[23]M10!G39,[23]M11!G39,[23]M12!G39)</f>
        <v>1243.0065407912289</v>
      </c>
      <c r="H55" s="262">
        <f>SUM([23]M01!H39,[23]M02!H39,[23]M03!H39,[23]M04!H39,[23]M05!H39,[23]M06!H39,[23]M07!H39,[23]M08!H39,[23]M09!H39,[23]M10!H39,[23]M11!H39,[23]M12!H39)</f>
        <v>4516.3810997323299</v>
      </c>
      <c r="I55" s="262">
        <f>SUM([23]M01!I39,[23]M02!I39,[23]M03!I39,[23]M04!I39,[23]M05!I39,[23]M06!I39,[23]M07!I39,[23]M08!I39,[23]M09!I39,[23]M10!I39,[23]M11!I39,[23]M12!I39)</f>
        <v>0</v>
      </c>
      <c r="J55" s="262">
        <f>SUM([23]M01!J39,[23]M02!J39,[23]M03!J39,[23]M04!J39,[23]M05!J39,[23]M06!J39,[23]M07!J39,[23]M08!J39,[23]M09!J39,[23]M10!J39,[23]M11!J39,[23]M12!J39)</f>
        <v>885.1543604719443</v>
      </c>
      <c r="K55" s="263">
        <f>SUM([23]M01!K39,[23]M02!K39,[23]M03!K39,[23]M04!K39,[23]M05!K39,[23]M06!K39,[23]M07!K39,[23]M08!K39,[23]M09!K39,[23]M10!K39,[23]M11!K39,[23]M12!K39)</f>
        <v>22.894573503400807</v>
      </c>
      <c r="L55" s="264">
        <f>SUM(B55:K55)</f>
        <v>8368.5699718130636</v>
      </c>
      <c r="M55" s="265">
        <f>L55/(L54+L55)</f>
        <v>0.3005801974333665</v>
      </c>
      <c r="N55" s="140"/>
    </row>
    <row r="56" spans="1:14" ht="20.25" customHeight="1" x14ac:dyDescent="0.25">
      <c r="A56" s="245" t="s">
        <v>288</v>
      </c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51">
        <f>L57+L58</f>
        <v>31868.764608219761</v>
      </c>
      <c r="M56" s="246">
        <f>L56/$M$51</f>
        <v>0.53372438366084507</v>
      </c>
      <c r="N56" s="252"/>
    </row>
    <row r="57" spans="1:14" ht="15" customHeight="1" x14ac:dyDescent="0.25">
      <c r="A57" s="253" t="s">
        <v>218</v>
      </c>
      <c r="B57" s="254">
        <f>SUM([23]M01!B41,[23]M02!B41,[23]M03!B41,[23]M04!B41,[23]M05!B41,[23]M06!B41,[23]M07!B41,[23]M08!B41,[23]M09!B41,[23]M10!B41,[23]M11!B41,[23]M12!B41)</f>
        <v>1617.3129080960866</v>
      </c>
      <c r="C57" s="255">
        <f>SUM([23]M01!C41,[23]M02!C41,[23]M03!C41,[23]M04!C41,[23]M05!C41,[23]M06!C41,[23]M07!C41,[23]M08!C41,[23]M09!C41,[23]M10!C41,[23]M11!C41,[23]M12!C41)</f>
        <v>4087.466890485357</v>
      </c>
      <c r="D57" s="255">
        <f>SUM([23]M01!D41,[23]M02!D41,[23]M03!D41,[23]M04!D41,[23]M05!D41,[23]M06!D41,[23]M07!D41,[23]M08!D41,[23]M09!D41,[23]M10!D41,[23]M11!D41,[23]M12!D41)</f>
        <v>1180.1059577643387</v>
      </c>
      <c r="E57" s="255">
        <f>SUM([23]M01!E41,[23]M02!E41,[23]M03!E41,[23]M04!E41,[23]M05!E41,[23]M06!E41,[23]M07!E41,[23]M08!E41,[23]M09!E41,[23]M10!E41,[23]M11!E41,[23]M12!E41)</f>
        <v>2600.7298957379539</v>
      </c>
      <c r="F57" s="255">
        <f>SUM([23]M01!F41,[23]M02!F41,[23]M03!F41,[23]M04!F41,[23]M05!F41,[23]M06!F41,[23]M07!F41,[23]M08!F41,[23]M09!F41,[23]M10!F41,[23]M11!F41,[23]M12!F41)</f>
        <v>1122.8025699243319</v>
      </c>
      <c r="G57" s="255">
        <f>SUM([23]M01!G41,[23]M02!G41,[23]M03!G41,[23]M04!G41,[23]M05!G41,[23]M06!G41,[23]M07!G41,[23]M08!G41,[23]M09!G41,[23]M10!G41,[23]M11!G41,[23]M12!G41)</f>
        <v>1122.4019691812687</v>
      </c>
      <c r="H57" s="255">
        <f>SUM([23]M01!H41,[23]M02!H41,[23]M03!H41,[23]M04!H41,[23]M05!H41,[23]M06!H41,[23]M07!H41,[23]M08!H41,[23]M09!H41,[23]M10!H41,[23]M11!H41,[23]M12!H41)</f>
        <v>782.39381323384737</v>
      </c>
      <c r="I57" s="255">
        <f>SUM([23]M01!I41,[23]M02!I41,[23]M03!I41,[23]M04!I41,[23]M05!I41,[23]M06!I41,[23]M07!I41,[23]M08!I41,[23]M09!I41,[23]M10!I41,[23]M11!I41,[23]M12!I41)</f>
        <v>1976.0903524101768</v>
      </c>
      <c r="J57" s="255">
        <f>SUM([23]M01!J41,[23]M02!J41,[23]M03!J41,[23]M04!J41,[23]M05!J41,[23]M06!J41,[23]M07!J41,[23]M08!J41,[23]M09!J41,[23]M10!J41,[23]M11!J41,[23]M12!J41)</f>
        <v>5918.4047395018706</v>
      </c>
      <c r="K57" s="256">
        <f>SUM([23]M01!K41,[23]M02!K41,[23]M03!K41,[23]M04!K41,[23]M05!K41,[23]M06!K41,[23]M07!K41,[23]M08!K41,[23]M09!K41,[23]M10!K41,[23]M11!K41,[23]M12!K41)</f>
        <v>1916.579631412593</v>
      </c>
      <c r="L57" s="257">
        <f>SUM(B57:K57)</f>
        <v>22324.288727747826</v>
      </c>
      <c r="M57" s="258">
        <f>L57/(L58+L57)</f>
        <v>0.70050687568823511</v>
      </c>
      <c r="N57" s="259"/>
    </row>
    <row r="58" spans="1:14" ht="15" customHeight="1" x14ac:dyDescent="0.25">
      <c r="A58" s="260" t="s">
        <v>277</v>
      </c>
      <c r="B58" s="261">
        <f>SUM([23]M01!B42,[23]M02!B42,[23]M03!B42,[23]M04!B42,[23]M05!B42,[23]M06!B42,[23]M07!B42,[23]M08!B42,[23]M09!B42,[23]M10!B42,[23]M11!B42,[23]M12!B42)</f>
        <v>89.627377585216976</v>
      </c>
      <c r="C58" s="262">
        <f>SUM([23]M01!C42,[23]M02!C42,[23]M03!C42,[23]M04!C42,[23]M05!C42,[23]M06!C42,[23]M07!C42,[23]M08!C42,[23]M09!C42,[23]M10!C42,[23]M11!C42,[23]M12!C42)</f>
        <v>0</v>
      </c>
      <c r="D58" s="262">
        <f>SUM([23]M01!D42,[23]M02!D42,[23]M03!D42,[23]M04!D42,[23]M05!D42,[23]M06!D42,[23]M07!D42,[23]M08!D42,[23]M09!D42,[23]M10!D42,[23]M11!D42,[23]M12!D42)</f>
        <v>0.4280372194461714</v>
      </c>
      <c r="E58" s="262">
        <f>SUM([23]M01!E42,[23]M02!E42,[23]M03!E42,[23]M04!E42,[23]M05!E42,[23]M06!E42,[23]M07!E42,[23]M08!E42,[23]M09!E42,[23]M10!E42,[23]M11!E42,[23]M12!E42)</f>
        <v>571.44066774781595</v>
      </c>
      <c r="F58" s="262">
        <f>SUM([23]M01!F42,[23]M02!F42,[23]M03!F42,[23]M04!F42,[23]M05!F42,[23]M06!F42,[23]M07!F42,[23]M08!F42,[23]M09!F42,[23]M10!F42,[23]M11!F42,[23]M12!F42)</f>
        <v>2218.9720569521796</v>
      </c>
      <c r="G58" s="262">
        <f>SUM([23]M01!G42,[23]M02!G42,[23]M03!G42,[23]M04!G42,[23]M05!G42,[23]M06!G42,[23]M07!G42,[23]M08!G42,[23]M09!G42,[23]M10!G42,[23]M11!G42,[23]M12!G42)</f>
        <v>866.07590947391066</v>
      </c>
      <c r="H58" s="262">
        <f>SUM([23]M01!H42,[23]M02!H42,[23]M03!H42,[23]M04!H42,[23]M05!H42,[23]M06!H42,[23]M07!H42,[23]M08!H42,[23]M09!H42,[23]M10!H42,[23]M11!H42,[23]M12!H42)</f>
        <v>4984.0102758633693</v>
      </c>
      <c r="I58" s="262">
        <f>SUM([23]M01!I42,[23]M02!I42,[23]M03!I42,[23]M04!I42,[23]M05!I42,[23]M06!I42,[23]M07!I42,[23]M08!I42,[23]M09!I42,[23]M10!I42,[23]M11!I42,[23]M12!I42)</f>
        <v>8.4295133381011862</v>
      </c>
      <c r="J58" s="262">
        <f>SUM([23]M01!J42,[23]M02!J42,[23]M03!J42,[23]M04!J42,[23]M05!J42,[23]M06!J42,[23]M07!J42,[23]M08!J42,[23]M09!J42,[23]M10!J42,[23]M11!J42,[23]M12!J42)</f>
        <v>581.23317821064188</v>
      </c>
      <c r="K58" s="263">
        <f>SUM([23]M01!K42,[23]M02!K42,[23]M03!K42,[23]M04!K42,[23]M05!K42,[23]M06!K42,[23]M07!K42,[23]M08!K42,[23]M09!K42,[23]M10!K42,[23]M11!K42,[23]M12!K42)</f>
        <v>224.25886408125501</v>
      </c>
      <c r="L58" s="264">
        <f>SUM(B58:K58)</f>
        <v>9544.4758804719368</v>
      </c>
      <c r="M58" s="265">
        <f>L58/(L57+L58)</f>
        <v>0.29949312431176495</v>
      </c>
      <c r="N58" s="198"/>
    </row>
    <row r="59" spans="1:14" ht="20.25" customHeight="1" x14ac:dyDescent="0.25">
      <c r="A59" s="245" t="s">
        <v>289</v>
      </c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51">
        <f>L60+L61</f>
        <v>44753.727860347302</v>
      </c>
      <c r="M59" s="246">
        <f>IFERROR(L59/B7,0)</f>
        <v>1</v>
      </c>
      <c r="N59" s="198"/>
    </row>
    <row r="60" spans="1:14" ht="15" customHeight="1" x14ac:dyDescent="0.25">
      <c r="A60" s="253" t="s">
        <v>290</v>
      </c>
      <c r="B60" s="254">
        <f>SUM([23]M01!B44,[23]M02!B44,[23]M03!B44,[23]M04!B44,[23]M05!B44,[23]M06!B44,[23]M07!B44,[23]M08!B44,[23]M09!B44,[23]M10!B44,[23]M11!B44,[23]M12!B44)</f>
        <v>0</v>
      </c>
      <c r="C60" s="255">
        <f>SUM([23]M01!C44,[23]M02!C44,[23]M03!C44,[23]M04!C44,[23]M05!C44,[23]M06!C44,[23]M07!C44,[23]M08!C44,[23]M09!C44,[23]M10!C44,[23]M11!C44,[23]M12!C44)</f>
        <v>0</v>
      </c>
      <c r="D60" s="255">
        <f>SUM([23]M01!D44,[23]M02!D44,[23]M03!D44,[23]M04!D44,[23]M05!D44,[23]M06!D44,[23]M07!D44,[23]M08!D44,[23]M09!D44,[23]M10!D44,[23]M11!D44,[23]M12!D44)</f>
        <v>0</v>
      </c>
      <c r="E60" s="255">
        <f>SUM([23]M01!E44,[23]M02!E44,[23]M03!E44,[23]M04!E44,[23]M05!E44,[23]M06!E44,[23]M07!E44,[23]M08!E44,[23]M09!E44,[23]M10!E44,[23]M11!E44,[23]M12!E44)</f>
        <v>0</v>
      </c>
      <c r="F60" s="255">
        <f>SUM([23]M01!F44,[23]M02!F44,[23]M03!F44,[23]M04!F44,[23]M05!F44,[23]M06!F44,[23]M07!F44,[23]M08!F44,[23]M09!F44,[23]M10!F44,[23]M11!F44,[23]M12!F44)</f>
        <v>1166.5490649267538</v>
      </c>
      <c r="G60" s="255">
        <f>SUM([23]M01!G44,[23]M02!G44,[23]M03!G44,[23]M04!G44,[23]M05!G44,[23]M06!G44,[23]M07!G44,[23]M08!G44,[23]M09!G44,[23]M10!G44,[23]M11!G44,[23]M12!G44)</f>
        <v>1709.0352947100503</v>
      </c>
      <c r="H60" s="255">
        <f>SUM([23]M01!H44,[23]M02!H44,[23]M03!H44,[23]M04!H44,[23]M05!H44,[23]M06!H44,[23]M07!H44,[23]M08!H44,[23]M09!H44,[23]M10!H44,[23]M11!H44,[23]M12!H44)</f>
        <v>5598.9460129636691</v>
      </c>
      <c r="I60" s="255">
        <f>SUM([23]M01!I44,[23]M02!I44,[23]M03!I44,[23]M04!I44,[23]M05!I44,[23]M06!I44,[23]M07!I44,[23]M08!I44,[23]M09!I44,[23]M10!I44,[23]M11!I44,[23]M12!I44)</f>
        <v>0</v>
      </c>
      <c r="J60" s="255">
        <f>SUM([23]M01!J44,[23]M02!J44,[23]M03!J44,[23]M04!J44,[23]M05!J44,[23]M06!J44,[23]M07!J44,[23]M08!J44,[23]M09!J44,[23]M10!J44,[23]M11!J44,[23]M12!J44)</f>
        <v>935.70804090643219</v>
      </c>
      <c r="K60" s="256">
        <f>SUM([23]M01!K44,[23]M02!K44,[23]M03!K44,[23]M04!K44,[23]M05!K44,[23]M06!K44,[23]M07!K44,[23]M08!K44,[23]M09!K44,[23]M10!K44,[23]M11!K44,[23]M12!K44)</f>
        <v>0</v>
      </c>
      <c r="L60" s="257">
        <f>SUM(B60:K60)</f>
        <v>9410.238413506906</v>
      </c>
      <c r="M60" s="258">
        <f>L60/(L61+L60)</f>
        <v>0.21026714116131912</v>
      </c>
      <c r="N60" s="198"/>
    </row>
    <row r="61" spans="1:14" ht="15" customHeight="1" x14ac:dyDescent="0.25">
      <c r="A61" s="260" t="s">
        <v>291</v>
      </c>
      <c r="B61" s="261">
        <f>SUM([23]M01!B45,[23]M02!B45,[23]M03!B45,[23]M04!B45,[23]M05!B45,[23]M06!B45,[23]M07!B45,[23]M08!B45,[23]M09!B45,[23]M10!B45,[23]M11!B45,[23]M12!B45)</f>
        <v>331.21572405922296</v>
      </c>
      <c r="C61" s="262">
        <f>SUM([23]M01!C45,[23]M02!C45,[23]M03!C45,[23]M04!C45,[23]M05!C45,[23]M06!C45,[23]M07!C45,[23]M08!C45,[23]M09!C45,[23]M10!C45,[23]M11!C45,[23]M12!C45)</f>
        <v>0</v>
      </c>
      <c r="D61" s="262">
        <f>SUM([23]M01!D45,[23]M02!D45,[23]M03!D45,[23]M04!D45,[23]M05!D45,[23]M06!D45,[23]M07!D45,[23]M08!D45,[23]M09!D45,[23]M10!D45,[23]M11!D45,[23]M12!D45)</f>
        <v>1.5889618883808074</v>
      </c>
      <c r="E61" s="262">
        <f>SUM([23]M01!E45,[23]M02!E45,[23]M03!E45,[23]M04!E45,[23]M05!E45,[23]M06!E45,[23]M07!E45,[23]M08!E45,[23]M09!E45,[23]M10!E45,[23]M11!E45,[23]M12!E45)</f>
        <v>2120.9021328904446</v>
      </c>
      <c r="F61" s="262">
        <f>SUM([23]M01!F45,[23]M02!F45,[23]M03!F45,[23]M04!F45,[23]M05!F45,[23]M06!F45,[23]M07!F45,[23]M08!F45,[23]M09!F45,[23]M10!F45,[23]M11!F45,[23]M12!F45)</f>
        <v>8174.2265659594195</v>
      </c>
      <c r="G61" s="262">
        <f>SUM([23]M01!G45,[23]M02!G45,[23]M03!G45,[23]M04!G45,[23]M05!G45,[23]M06!G45,[23]M07!G45,[23]M08!G45,[23]M09!G45,[23]M10!G45,[23]M11!G45,[23]M12!G45)</f>
        <v>3218.2857541341577</v>
      </c>
      <c r="H61" s="262">
        <f>SUM([23]M01!H45,[23]M02!H45,[23]M03!H45,[23]M04!H45,[23]M05!H45,[23]M06!H45,[23]M07!H45,[23]M08!H45,[23]M09!H45,[23]M10!H45,[23]M11!H45,[23]M12!H45)</f>
        <v>18480.491779095995</v>
      </c>
      <c r="I61" s="262">
        <f>SUM([23]M01!I45,[23]M02!I45,[23]M03!I45,[23]M04!I45,[23]M05!I45,[23]M06!I45,[23]M07!I45,[23]M08!I45,[23]M09!I45,[23]M10!I45,[23]M11!I45,[23]M12!I45)</f>
        <v>31.356197189355246</v>
      </c>
      <c r="J61" s="262">
        <f>SUM([23]M01!J45,[23]M02!J45,[23]M03!J45,[23]M04!J45,[23]M05!J45,[23]M06!J45,[23]M07!J45,[23]M08!J45,[23]M09!J45,[23]M10!J45,[23]M11!J45,[23]M12!J45)</f>
        <v>2151.9766806416324</v>
      </c>
      <c r="K61" s="263">
        <f>SUM([23]M01!K45,[23]M02!K45,[23]M03!K45,[23]M04!K45,[23]M05!K45,[23]M06!K45,[23]M07!K45,[23]M08!K45,[23]M09!K45,[23]M10!K45,[23]M11!K45,[23]M12!K45)</f>
        <v>833.445650981786</v>
      </c>
      <c r="L61" s="264">
        <f>SUM(B61:K61)</f>
        <v>35343.489446840395</v>
      </c>
      <c r="M61" s="265">
        <f>L61/(L60+L61)</f>
        <v>0.78973285883868083</v>
      </c>
      <c r="N61" s="198"/>
    </row>
    <row r="62" spans="1:14" ht="20.25" hidden="1" customHeight="1" x14ac:dyDescent="0.25">
      <c r="A62" s="245" t="s">
        <v>292</v>
      </c>
      <c r="B62" s="266"/>
      <c r="C62" s="266"/>
      <c r="D62" s="266"/>
      <c r="E62" s="266"/>
      <c r="F62" s="266"/>
      <c r="G62" s="267">
        <f>SUM([23]M01!G46,[23]M02!G46,[23]M03!G46,[23]M04!G46,[23]M05!G46,[23]M06!G46,[23]M07!G46,[23]M08!G46,[23]M09!G46,[23]M10!G46,[23]M11!G46,[23]M12!G46)</f>
        <v>0</v>
      </c>
      <c r="H62" s="268">
        <f>G62/L51</f>
        <v>0</v>
      </c>
      <c r="I62" s="266"/>
      <c r="J62" s="266"/>
      <c r="K62" s="266"/>
      <c r="L62" s="244"/>
      <c r="N62" s="198"/>
    </row>
    <row r="63" spans="1:14" ht="15" customHeight="1" x14ac:dyDescent="0.25">
      <c r="A63" s="266"/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44"/>
      <c r="N63" s="198"/>
    </row>
    <row r="64" spans="1:14" ht="20.25" customHeight="1" x14ac:dyDescent="0.25">
      <c r="A64" s="269" t="s">
        <v>293</v>
      </c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51">
        <f>L65+L66</f>
        <v>104463.8807012973</v>
      </c>
      <c r="M64" s="271">
        <f>L64/(B3+B7)</f>
        <v>0.99999999999999989</v>
      </c>
      <c r="N64" s="272"/>
    </row>
    <row r="65" spans="1:14" ht="15" customHeight="1" x14ac:dyDescent="0.25">
      <c r="A65" s="273" t="s">
        <v>218</v>
      </c>
      <c r="B65" s="274">
        <f>B54+B57</f>
        <v>3241.253542157051</v>
      </c>
      <c r="C65" s="275">
        <f t="shared" ref="C65:K65" si="2">C54+C57</f>
        <v>11143.798800069397</v>
      </c>
      <c r="D65" s="275">
        <f t="shared" si="2"/>
        <v>2431.8854333168611</v>
      </c>
      <c r="E65" s="275">
        <f t="shared" si="2"/>
        <v>6023.6751136523126</v>
      </c>
      <c r="F65" s="275">
        <f t="shared" si="2"/>
        <v>2777.5474386389119</v>
      </c>
      <c r="G65" s="275">
        <f t="shared" si="2"/>
        <v>1259.7450358354533</v>
      </c>
      <c r="H65" s="275">
        <f t="shared" si="2"/>
        <v>797.30415132433632</v>
      </c>
      <c r="I65" s="275">
        <f t="shared" si="2"/>
        <v>2520.9090284355029</v>
      </c>
      <c r="J65" s="275">
        <f t="shared" si="2"/>
        <v>6465.5459015617844</v>
      </c>
      <c r="K65" s="276">
        <f t="shared" si="2"/>
        <v>5135.44254367339</v>
      </c>
      <c r="L65" s="257">
        <f>SUM(B65:K65)</f>
        <v>41797.106988665</v>
      </c>
      <c r="M65" s="258">
        <f>L65/(L66+L65)</f>
        <v>0.40011060960083533</v>
      </c>
      <c r="N65" s="272"/>
    </row>
    <row r="66" spans="1:14" ht="15" customHeight="1" x14ac:dyDescent="0.25">
      <c r="A66" s="277" t="s">
        <v>277</v>
      </c>
      <c r="B66" s="278">
        <f>B55+B58+B60+B61</f>
        <v>426.58773423958473</v>
      </c>
      <c r="C66" s="279">
        <f t="shared" ref="C66:K66" si="3">C55+C58+C60+C61</f>
        <v>0</v>
      </c>
      <c r="D66" s="279">
        <f t="shared" si="3"/>
        <v>2.0169991078269787</v>
      </c>
      <c r="E66" s="279">
        <f t="shared" si="3"/>
        <v>2885.2341922542196</v>
      </c>
      <c r="F66" s="279">
        <f t="shared" si="3"/>
        <v>13062.245060941408</v>
      </c>
      <c r="G66" s="279">
        <f t="shared" si="3"/>
        <v>7036.4034991093467</v>
      </c>
      <c r="H66" s="279">
        <f t="shared" si="3"/>
        <v>33579.829167655364</v>
      </c>
      <c r="I66" s="279">
        <f t="shared" si="3"/>
        <v>39.78571052745643</v>
      </c>
      <c r="J66" s="279">
        <f t="shared" si="3"/>
        <v>4554.0722602306505</v>
      </c>
      <c r="K66" s="280">
        <f t="shared" si="3"/>
        <v>1080.5990885664419</v>
      </c>
      <c r="L66" s="264">
        <f>SUM(B66:K66)</f>
        <v>62666.773712632297</v>
      </c>
      <c r="M66" s="265">
        <f>L66/(L65+L66)</f>
        <v>0.59988939039916467</v>
      </c>
      <c r="N66" s="272"/>
    </row>
    <row r="67" spans="1:14" ht="15" customHeight="1" x14ac:dyDescent="0.25">
      <c r="B67" s="268">
        <f>B65/$L$64</f>
        <v>3.1027504630285089E-2</v>
      </c>
      <c r="C67" s="268">
        <f t="shared" ref="C67:K67" si="4">C65/$L$64</f>
        <v>0.10667609440945272</v>
      </c>
      <c r="D67" s="268">
        <f t="shared" si="4"/>
        <v>2.3279677310386004E-2</v>
      </c>
      <c r="E67" s="268">
        <f t="shared" si="4"/>
        <v>5.7662754563716938E-2</v>
      </c>
      <c r="F67" s="268">
        <f t="shared" si="4"/>
        <v>2.658859138673008E-2</v>
      </c>
      <c r="G67" s="268">
        <f t="shared" si="4"/>
        <v>1.2059144532812757E-2</v>
      </c>
      <c r="H67" s="268">
        <f t="shared" si="4"/>
        <v>7.63234283440166E-3</v>
      </c>
      <c r="I67" s="268">
        <f t="shared" si="4"/>
        <v>2.4131872294154554E-2</v>
      </c>
      <c r="J67" s="268">
        <f t="shared" si="4"/>
        <v>6.1892645172251307E-2</v>
      </c>
      <c r="K67" s="268">
        <f t="shared" si="4"/>
        <v>4.9159982466644235E-2</v>
      </c>
      <c r="N67" s="198"/>
    </row>
    <row r="68" spans="1:14" ht="15" customHeight="1" x14ac:dyDescent="0.25">
      <c r="B68" s="268">
        <f t="shared" ref="B68:K68" si="5">B66/$L$64</f>
        <v>4.0835907241409527E-3</v>
      </c>
      <c r="C68" s="268">
        <f t="shared" si="5"/>
        <v>0</v>
      </c>
      <c r="D68" s="268">
        <f t="shared" si="5"/>
        <v>1.9308100505995564E-5</v>
      </c>
      <c r="E68" s="268">
        <f t="shared" si="5"/>
        <v>2.7619442939366017E-2</v>
      </c>
      <c r="F68" s="268">
        <f t="shared" si="5"/>
        <v>0.12504077938949471</v>
      </c>
      <c r="G68" s="268">
        <f t="shared" si="5"/>
        <v>6.7357286096130675E-2</v>
      </c>
      <c r="H68" s="268">
        <f t="shared" si="5"/>
        <v>0.32144918360512664</v>
      </c>
      <c r="I68" s="268">
        <f t="shared" si="5"/>
        <v>3.8085614147553246E-4</v>
      </c>
      <c r="J68" s="268">
        <f t="shared" si="5"/>
        <v>4.3594706894457685E-2</v>
      </c>
      <c r="K68" s="268">
        <f t="shared" si="5"/>
        <v>1.0344236508466435E-2</v>
      </c>
      <c r="N68" s="198"/>
    </row>
    <row r="69" spans="1:14" ht="15" customHeight="1" x14ac:dyDescent="0.25"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2"/>
      <c r="M69" s="283"/>
    </row>
    <row r="70" spans="1:14" ht="15" customHeight="1" x14ac:dyDescent="0.25">
      <c r="B70" s="281"/>
      <c r="C70" s="281"/>
      <c r="D70" s="281"/>
      <c r="E70" s="281"/>
      <c r="F70" s="281"/>
      <c r="G70" s="281"/>
      <c r="H70" s="281"/>
      <c r="I70" s="281"/>
      <c r="J70" s="281"/>
      <c r="K70" s="281"/>
    </row>
    <row r="71" spans="1:14" ht="15" customHeight="1" x14ac:dyDescent="0.25"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2"/>
    </row>
    <row r="72" spans="1:14" ht="15" customHeight="1" x14ac:dyDescent="0.25">
      <c r="B72" s="281"/>
      <c r="C72" s="281"/>
      <c r="D72" s="281"/>
      <c r="E72" s="281"/>
      <c r="F72" s="281"/>
      <c r="G72" s="281"/>
      <c r="H72" s="281"/>
      <c r="I72" s="281"/>
      <c r="J72" s="281"/>
      <c r="K72" s="281"/>
      <c r="L72" s="282"/>
    </row>
  </sheetData>
  <conditionalFormatting sqref="B29:K30">
    <cfRule type="cellIs" dxfId="51" priority="16" operator="equal">
      <formula>0</formula>
    </cfRule>
  </conditionalFormatting>
  <conditionalFormatting sqref="B44:K45">
    <cfRule type="cellIs" dxfId="50" priority="1" operator="equal">
      <formula>0</formula>
    </cfRule>
  </conditionalFormatting>
  <conditionalFormatting sqref="B19:L20 B38:K38">
    <cfRule type="cellIs" dxfId="49" priority="18" operator="equal">
      <formula>0</formula>
    </cfRule>
  </conditionalFormatting>
  <conditionalFormatting sqref="B22:L23">
    <cfRule type="cellIs" dxfId="48" priority="11" operator="equal">
      <formula>0</formula>
    </cfRule>
  </conditionalFormatting>
  <conditionalFormatting sqref="B25:L27">
    <cfRule type="cellIs" dxfId="47" priority="14" operator="equal">
      <formula>0</formula>
    </cfRule>
  </conditionalFormatting>
  <conditionalFormatting sqref="B54:L55">
    <cfRule type="cellIs" dxfId="46" priority="7" operator="equal">
      <formula>0</formula>
    </cfRule>
  </conditionalFormatting>
  <conditionalFormatting sqref="B57:L58">
    <cfRule type="cellIs" dxfId="45" priority="6" operator="equal">
      <formula>0</formula>
    </cfRule>
  </conditionalFormatting>
  <conditionalFormatting sqref="B60:L61">
    <cfRule type="cellIs" dxfId="44" priority="5" operator="equal">
      <formula>0</formula>
    </cfRule>
  </conditionalFormatting>
  <conditionalFormatting sqref="B65:L66">
    <cfRule type="cellIs" dxfId="43" priority="3" operator="equal">
      <formula>0</formula>
    </cfRule>
  </conditionalFormatting>
  <conditionalFormatting sqref="L51">
    <cfRule type="cellIs" dxfId="42" priority="2" stopIfTrue="1" operator="notEqual">
      <formula>$M$51</formula>
    </cfRule>
  </conditionalFormatting>
  <conditionalFormatting sqref="M51">
    <cfRule type="cellIs" dxfId="41" priority="8" stopIfTrue="1" operator="notEqual">
      <formula>$L$51</formula>
    </cfRule>
  </conditionalFormatting>
  <conditionalFormatting sqref="N12:N13">
    <cfRule type="cellIs" dxfId="40" priority="10" stopIfTrue="1" operator="notEqual">
      <formula>8760</formula>
    </cfRule>
  </conditionalFormatting>
  <conditionalFormatting sqref="N14">
    <cfRule type="cellIs" dxfId="39" priority="9" stopIfTrue="1" operator="notEqual">
      <formula>1</formula>
    </cfRule>
  </conditionalFormatting>
  <printOptions horizontalCentered="1"/>
  <pageMargins left="0.39370078740157483" right="0.39370078740157483" top="0.98425196850393704" bottom="0.39370078740157483" header="0.59055118110236227" footer="0.31496062992125984"/>
  <pageSetup paperSize="9" scale="67" orientation="portrait" r:id="rId1"/>
  <headerFooter>
    <oddHeader>&amp;C&amp;Z&amp;F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72"/>
  <sheetViews>
    <sheetView topLeftCell="A16" zoomScale="77" zoomScaleNormal="77" workbookViewId="0">
      <selection activeCell="Q59" sqref="Q59"/>
    </sheetView>
  </sheetViews>
  <sheetFormatPr baseColWidth="10" defaultColWidth="10.7109375" defaultRowHeight="15" customHeight="1" x14ac:dyDescent="0.25"/>
  <cols>
    <col min="1" max="1" width="12.7109375" style="129" customWidth="1"/>
    <col min="2" max="2" width="12.140625" style="129" bestFit="1" customWidth="1"/>
    <col min="3" max="5" width="10.7109375" style="129"/>
    <col min="6" max="6" width="12.42578125" style="129" bestFit="1" customWidth="1"/>
    <col min="7" max="7" width="10.7109375" style="129"/>
    <col min="8" max="8" width="12.7109375" style="129" bestFit="1" customWidth="1"/>
    <col min="9" max="256" width="10.7109375" style="129"/>
    <col min="257" max="257" width="12.7109375" style="129" customWidth="1"/>
    <col min="258" max="258" width="12.140625" style="129" bestFit="1" customWidth="1"/>
    <col min="259" max="261" width="10.7109375" style="129"/>
    <col min="262" max="262" width="12.42578125" style="129" bestFit="1" customWidth="1"/>
    <col min="263" max="263" width="10.7109375" style="129"/>
    <col min="264" max="264" width="12.7109375" style="129" bestFit="1" customWidth="1"/>
    <col min="265" max="512" width="10.7109375" style="129"/>
    <col min="513" max="513" width="12.7109375" style="129" customWidth="1"/>
    <col min="514" max="514" width="12.140625" style="129" bestFit="1" customWidth="1"/>
    <col min="515" max="517" width="10.7109375" style="129"/>
    <col min="518" max="518" width="12.42578125" style="129" bestFit="1" customWidth="1"/>
    <col min="519" max="519" width="10.7109375" style="129"/>
    <col min="520" max="520" width="12.7109375" style="129" bestFit="1" customWidth="1"/>
    <col min="521" max="768" width="10.7109375" style="129"/>
    <col min="769" max="769" width="12.7109375" style="129" customWidth="1"/>
    <col min="770" max="770" width="12.140625" style="129" bestFit="1" customWidth="1"/>
    <col min="771" max="773" width="10.7109375" style="129"/>
    <col min="774" max="774" width="12.42578125" style="129" bestFit="1" customWidth="1"/>
    <col min="775" max="775" width="10.7109375" style="129"/>
    <col min="776" max="776" width="12.7109375" style="129" bestFit="1" customWidth="1"/>
    <col min="777" max="1024" width="10.7109375" style="129"/>
    <col min="1025" max="1025" width="12.7109375" style="129" customWidth="1"/>
    <col min="1026" max="1026" width="12.140625" style="129" bestFit="1" customWidth="1"/>
    <col min="1027" max="1029" width="10.7109375" style="129"/>
    <col min="1030" max="1030" width="12.42578125" style="129" bestFit="1" customWidth="1"/>
    <col min="1031" max="1031" width="10.7109375" style="129"/>
    <col min="1032" max="1032" width="12.7109375" style="129" bestFit="1" customWidth="1"/>
    <col min="1033" max="1280" width="10.7109375" style="129"/>
    <col min="1281" max="1281" width="12.7109375" style="129" customWidth="1"/>
    <col min="1282" max="1282" width="12.140625" style="129" bestFit="1" customWidth="1"/>
    <col min="1283" max="1285" width="10.7109375" style="129"/>
    <col min="1286" max="1286" width="12.42578125" style="129" bestFit="1" customWidth="1"/>
    <col min="1287" max="1287" width="10.7109375" style="129"/>
    <col min="1288" max="1288" width="12.7109375" style="129" bestFit="1" customWidth="1"/>
    <col min="1289" max="1536" width="10.7109375" style="129"/>
    <col min="1537" max="1537" width="12.7109375" style="129" customWidth="1"/>
    <col min="1538" max="1538" width="12.140625" style="129" bestFit="1" customWidth="1"/>
    <col min="1539" max="1541" width="10.7109375" style="129"/>
    <col min="1542" max="1542" width="12.42578125" style="129" bestFit="1" customWidth="1"/>
    <col min="1543" max="1543" width="10.7109375" style="129"/>
    <col min="1544" max="1544" width="12.7109375" style="129" bestFit="1" customWidth="1"/>
    <col min="1545" max="1792" width="10.7109375" style="129"/>
    <col min="1793" max="1793" width="12.7109375" style="129" customWidth="1"/>
    <col min="1794" max="1794" width="12.140625" style="129" bestFit="1" customWidth="1"/>
    <col min="1795" max="1797" width="10.7109375" style="129"/>
    <col min="1798" max="1798" width="12.42578125" style="129" bestFit="1" customWidth="1"/>
    <col min="1799" max="1799" width="10.7109375" style="129"/>
    <col min="1800" max="1800" width="12.7109375" style="129" bestFit="1" customWidth="1"/>
    <col min="1801" max="2048" width="10.7109375" style="129"/>
    <col min="2049" max="2049" width="12.7109375" style="129" customWidth="1"/>
    <col min="2050" max="2050" width="12.140625" style="129" bestFit="1" customWidth="1"/>
    <col min="2051" max="2053" width="10.7109375" style="129"/>
    <col min="2054" max="2054" width="12.42578125" style="129" bestFit="1" customWidth="1"/>
    <col min="2055" max="2055" width="10.7109375" style="129"/>
    <col min="2056" max="2056" width="12.7109375" style="129" bestFit="1" customWidth="1"/>
    <col min="2057" max="2304" width="10.7109375" style="129"/>
    <col min="2305" max="2305" width="12.7109375" style="129" customWidth="1"/>
    <col min="2306" max="2306" width="12.140625" style="129" bestFit="1" customWidth="1"/>
    <col min="2307" max="2309" width="10.7109375" style="129"/>
    <col min="2310" max="2310" width="12.42578125" style="129" bestFit="1" customWidth="1"/>
    <col min="2311" max="2311" width="10.7109375" style="129"/>
    <col min="2312" max="2312" width="12.7109375" style="129" bestFit="1" customWidth="1"/>
    <col min="2313" max="2560" width="10.7109375" style="129"/>
    <col min="2561" max="2561" width="12.7109375" style="129" customWidth="1"/>
    <col min="2562" max="2562" width="12.140625" style="129" bestFit="1" customWidth="1"/>
    <col min="2563" max="2565" width="10.7109375" style="129"/>
    <col min="2566" max="2566" width="12.42578125" style="129" bestFit="1" customWidth="1"/>
    <col min="2567" max="2567" width="10.7109375" style="129"/>
    <col min="2568" max="2568" width="12.7109375" style="129" bestFit="1" customWidth="1"/>
    <col min="2569" max="2816" width="10.7109375" style="129"/>
    <col min="2817" max="2817" width="12.7109375" style="129" customWidth="1"/>
    <col min="2818" max="2818" width="12.140625" style="129" bestFit="1" customWidth="1"/>
    <col min="2819" max="2821" width="10.7109375" style="129"/>
    <col min="2822" max="2822" width="12.42578125" style="129" bestFit="1" customWidth="1"/>
    <col min="2823" max="2823" width="10.7109375" style="129"/>
    <col min="2824" max="2824" width="12.7109375" style="129" bestFit="1" customWidth="1"/>
    <col min="2825" max="3072" width="10.7109375" style="129"/>
    <col min="3073" max="3073" width="12.7109375" style="129" customWidth="1"/>
    <col min="3074" max="3074" width="12.140625" style="129" bestFit="1" customWidth="1"/>
    <col min="3075" max="3077" width="10.7109375" style="129"/>
    <col min="3078" max="3078" width="12.42578125" style="129" bestFit="1" customWidth="1"/>
    <col min="3079" max="3079" width="10.7109375" style="129"/>
    <col min="3080" max="3080" width="12.7109375" style="129" bestFit="1" customWidth="1"/>
    <col min="3081" max="3328" width="10.7109375" style="129"/>
    <col min="3329" max="3329" width="12.7109375" style="129" customWidth="1"/>
    <col min="3330" max="3330" width="12.140625" style="129" bestFit="1" customWidth="1"/>
    <col min="3331" max="3333" width="10.7109375" style="129"/>
    <col min="3334" max="3334" width="12.42578125" style="129" bestFit="1" customWidth="1"/>
    <col min="3335" max="3335" width="10.7109375" style="129"/>
    <col min="3336" max="3336" width="12.7109375" style="129" bestFit="1" customWidth="1"/>
    <col min="3337" max="3584" width="10.7109375" style="129"/>
    <col min="3585" max="3585" width="12.7109375" style="129" customWidth="1"/>
    <col min="3586" max="3586" width="12.140625" style="129" bestFit="1" customWidth="1"/>
    <col min="3587" max="3589" width="10.7109375" style="129"/>
    <col min="3590" max="3590" width="12.42578125" style="129" bestFit="1" customWidth="1"/>
    <col min="3591" max="3591" width="10.7109375" style="129"/>
    <col min="3592" max="3592" width="12.7109375" style="129" bestFit="1" customWidth="1"/>
    <col min="3593" max="3840" width="10.7109375" style="129"/>
    <col min="3841" max="3841" width="12.7109375" style="129" customWidth="1"/>
    <col min="3842" max="3842" width="12.140625" style="129" bestFit="1" customWidth="1"/>
    <col min="3843" max="3845" width="10.7109375" style="129"/>
    <col min="3846" max="3846" width="12.42578125" style="129" bestFit="1" customWidth="1"/>
    <col min="3847" max="3847" width="10.7109375" style="129"/>
    <col min="3848" max="3848" width="12.7109375" style="129" bestFit="1" customWidth="1"/>
    <col min="3849" max="4096" width="10.7109375" style="129"/>
    <col min="4097" max="4097" width="12.7109375" style="129" customWidth="1"/>
    <col min="4098" max="4098" width="12.140625" style="129" bestFit="1" customWidth="1"/>
    <col min="4099" max="4101" width="10.7109375" style="129"/>
    <col min="4102" max="4102" width="12.42578125" style="129" bestFit="1" customWidth="1"/>
    <col min="4103" max="4103" width="10.7109375" style="129"/>
    <col min="4104" max="4104" width="12.7109375" style="129" bestFit="1" customWidth="1"/>
    <col min="4105" max="4352" width="10.7109375" style="129"/>
    <col min="4353" max="4353" width="12.7109375" style="129" customWidth="1"/>
    <col min="4354" max="4354" width="12.140625" style="129" bestFit="1" customWidth="1"/>
    <col min="4355" max="4357" width="10.7109375" style="129"/>
    <col min="4358" max="4358" width="12.42578125" style="129" bestFit="1" customWidth="1"/>
    <col min="4359" max="4359" width="10.7109375" style="129"/>
    <col min="4360" max="4360" width="12.7109375" style="129" bestFit="1" customWidth="1"/>
    <col min="4361" max="4608" width="10.7109375" style="129"/>
    <col min="4609" max="4609" width="12.7109375" style="129" customWidth="1"/>
    <col min="4610" max="4610" width="12.140625" style="129" bestFit="1" customWidth="1"/>
    <col min="4611" max="4613" width="10.7109375" style="129"/>
    <col min="4614" max="4614" width="12.42578125" style="129" bestFit="1" customWidth="1"/>
    <col min="4615" max="4615" width="10.7109375" style="129"/>
    <col min="4616" max="4616" width="12.7109375" style="129" bestFit="1" customWidth="1"/>
    <col min="4617" max="4864" width="10.7109375" style="129"/>
    <col min="4865" max="4865" width="12.7109375" style="129" customWidth="1"/>
    <col min="4866" max="4866" width="12.140625" style="129" bestFit="1" customWidth="1"/>
    <col min="4867" max="4869" width="10.7109375" style="129"/>
    <col min="4870" max="4870" width="12.42578125" style="129" bestFit="1" customWidth="1"/>
    <col min="4871" max="4871" width="10.7109375" style="129"/>
    <col min="4872" max="4872" width="12.7109375" style="129" bestFit="1" customWidth="1"/>
    <col min="4873" max="5120" width="10.7109375" style="129"/>
    <col min="5121" max="5121" width="12.7109375" style="129" customWidth="1"/>
    <col min="5122" max="5122" width="12.140625" style="129" bestFit="1" customWidth="1"/>
    <col min="5123" max="5125" width="10.7109375" style="129"/>
    <col min="5126" max="5126" width="12.42578125" style="129" bestFit="1" customWidth="1"/>
    <col min="5127" max="5127" width="10.7109375" style="129"/>
    <col min="5128" max="5128" width="12.7109375" style="129" bestFit="1" customWidth="1"/>
    <col min="5129" max="5376" width="10.7109375" style="129"/>
    <col min="5377" max="5377" width="12.7109375" style="129" customWidth="1"/>
    <col min="5378" max="5378" width="12.140625" style="129" bestFit="1" customWidth="1"/>
    <col min="5379" max="5381" width="10.7109375" style="129"/>
    <col min="5382" max="5382" width="12.42578125" style="129" bestFit="1" customWidth="1"/>
    <col min="5383" max="5383" width="10.7109375" style="129"/>
    <col min="5384" max="5384" width="12.7109375" style="129" bestFit="1" customWidth="1"/>
    <col min="5385" max="5632" width="10.7109375" style="129"/>
    <col min="5633" max="5633" width="12.7109375" style="129" customWidth="1"/>
    <col min="5634" max="5634" width="12.140625" style="129" bestFit="1" customWidth="1"/>
    <col min="5635" max="5637" width="10.7109375" style="129"/>
    <col min="5638" max="5638" width="12.42578125" style="129" bestFit="1" customWidth="1"/>
    <col min="5639" max="5639" width="10.7109375" style="129"/>
    <col min="5640" max="5640" width="12.7109375" style="129" bestFit="1" customWidth="1"/>
    <col min="5641" max="5888" width="10.7109375" style="129"/>
    <col min="5889" max="5889" width="12.7109375" style="129" customWidth="1"/>
    <col min="5890" max="5890" width="12.140625" style="129" bestFit="1" customWidth="1"/>
    <col min="5891" max="5893" width="10.7109375" style="129"/>
    <col min="5894" max="5894" width="12.42578125" style="129" bestFit="1" customWidth="1"/>
    <col min="5895" max="5895" width="10.7109375" style="129"/>
    <col min="5896" max="5896" width="12.7109375" style="129" bestFit="1" customWidth="1"/>
    <col min="5897" max="6144" width="10.7109375" style="129"/>
    <col min="6145" max="6145" width="12.7109375" style="129" customWidth="1"/>
    <col min="6146" max="6146" width="12.140625" style="129" bestFit="1" customWidth="1"/>
    <col min="6147" max="6149" width="10.7109375" style="129"/>
    <col min="6150" max="6150" width="12.42578125" style="129" bestFit="1" customWidth="1"/>
    <col min="6151" max="6151" width="10.7109375" style="129"/>
    <col min="6152" max="6152" width="12.7109375" style="129" bestFit="1" customWidth="1"/>
    <col min="6153" max="6400" width="10.7109375" style="129"/>
    <col min="6401" max="6401" width="12.7109375" style="129" customWidth="1"/>
    <col min="6402" max="6402" width="12.140625" style="129" bestFit="1" customWidth="1"/>
    <col min="6403" max="6405" width="10.7109375" style="129"/>
    <col min="6406" max="6406" width="12.42578125" style="129" bestFit="1" customWidth="1"/>
    <col min="6407" max="6407" width="10.7109375" style="129"/>
    <col min="6408" max="6408" width="12.7109375" style="129" bestFit="1" customWidth="1"/>
    <col min="6409" max="6656" width="10.7109375" style="129"/>
    <col min="6657" max="6657" width="12.7109375" style="129" customWidth="1"/>
    <col min="6658" max="6658" width="12.140625" style="129" bestFit="1" customWidth="1"/>
    <col min="6659" max="6661" width="10.7109375" style="129"/>
    <col min="6662" max="6662" width="12.42578125" style="129" bestFit="1" customWidth="1"/>
    <col min="6663" max="6663" width="10.7109375" style="129"/>
    <col min="6664" max="6664" width="12.7109375" style="129" bestFit="1" customWidth="1"/>
    <col min="6665" max="6912" width="10.7109375" style="129"/>
    <col min="6913" max="6913" width="12.7109375" style="129" customWidth="1"/>
    <col min="6914" max="6914" width="12.140625" style="129" bestFit="1" customWidth="1"/>
    <col min="6915" max="6917" width="10.7109375" style="129"/>
    <col min="6918" max="6918" width="12.42578125" style="129" bestFit="1" customWidth="1"/>
    <col min="6919" max="6919" width="10.7109375" style="129"/>
    <col min="6920" max="6920" width="12.7109375" style="129" bestFit="1" customWidth="1"/>
    <col min="6921" max="7168" width="10.7109375" style="129"/>
    <col min="7169" max="7169" width="12.7109375" style="129" customWidth="1"/>
    <col min="7170" max="7170" width="12.140625" style="129" bestFit="1" customWidth="1"/>
    <col min="7171" max="7173" width="10.7109375" style="129"/>
    <col min="7174" max="7174" width="12.42578125" style="129" bestFit="1" customWidth="1"/>
    <col min="7175" max="7175" width="10.7109375" style="129"/>
    <col min="7176" max="7176" width="12.7109375" style="129" bestFit="1" customWidth="1"/>
    <col min="7177" max="7424" width="10.7109375" style="129"/>
    <col min="7425" max="7425" width="12.7109375" style="129" customWidth="1"/>
    <col min="7426" max="7426" width="12.140625" style="129" bestFit="1" customWidth="1"/>
    <col min="7427" max="7429" width="10.7109375" style="129"/>
    <col min="7430" max="7430" width="12.42578125" style="129" bestFit="1" customWidth="1"/>
    <col min="7431" max="7431" width="10.7109375" style="129"/>
    <col min="7432" max="7432" width="12.7109375" style="129" bestFit="1" customWidth="1"/>
    <col min="7433" max="7680" width="10.7109375" style="129"/>
    <col min="7681" max="7681" width="12.7109375" style="129" customWidth="1"/>
    <col min="7682" max="7682" width="12.140625" style="129" bestFit="1" customWidth="1"/>
    <col min="7683" max="7685" width="10.7109375" style="129"/>
    <col min="7686" max="7686" width="12.42578125" style="129" bestFit="1" customWidth="1"/>
    <col min="7687" max="7687" width="10.7109375" style="129"/>
    <col min="7688" max="7688" width="12.7109375" style="129" bestFit="1" customWidth="1"/>
    <col min="7689" max="7936" width="10.7109375" style="129"/>
    <col min="7937" max="7937" width="12.7109375" style="129" customWidth="1"/>
    <col min="7938" max="7938" width="12.140625" style="129" bestFit="1" customWidth="1"/>
    <col min="7939" max="7941" width="10.7109375" style="129"/>
    <col min="7942" max="7942" width="12.42578125" style="129" bestFit="1" customWidth="1"/>
    <col min="7943" max="7943" width="10.7109375" style="129"/>
    <col min="7944" max="7944" width="12.7109375" style="129" bestFit="1" customWidth="1"/>
    <col min="7945" max="8192" width="10.7109375" style="129"/>
    <col min="8193" max="8193" width="12.7109375" style="129" customWidth="1"/>
    <col min="8194" max="8194" width="12.140625" style="129" bestFit="1" customWidth="1"/>
    <col min="8195" max="8197" width="10.7109375" style="129"/>
    <col min="8198" max="8198" width="12.42578125" style="129" bestFit="1" customWidth="1"/>
    <col min="8199" max="8199" width="10.7109375" style="129"/>
    <col min="8200" max="8200" width="12.7109375" style="129" bestFit="1" customWidth="1"/>
    <col min="8201" max="8448" width="10.7109375" style="129"/>
    <col min="8449" max="8449" width="12.7109375" style="129" customWidth="1"/>
    <col min="8450" max="8450" width="12.140625" style="129" bestFit="1" customWidth="1"/>
    <col min="8451" max="8453" width="10.7109375" style="129"/>
    <col min="8454" max="8454" width="12.42578125" style="129" bestFit="1" customWidth="1"/>
    <col min="8455" max="8455" width="10.7109375" style="129"/>
    <col min="8456" max="8456" width="12.7109375" style="129" bestFit="1" customWidth="1"/>
    <col min="8457" max="8704" width="10.7109375" style="129"/>
    <col min="8705" max="8705" width="12.7109375" style="129" customWidth="1"/>
    <col min="8706" max="8706" width="12.140625" style="129" bestFit="1" customWidth="1"/>
    <col min="8707" max="8709" width="10.7109375" style="129"/>
    <col min="8710" max="8710" width="12.42578125" style="129" bestFit="1" customWidth="1"/>
    <col min="8711" max="8711" width="10.7109375" style="129"/>
    <col min="8712" max="8712" width="12.7109375" style="129" bestFit="1" customWidth="1"/>
    <col min="8713" max="8960" width="10.7109375" style="129"/>
    <col min="8961" max="8961" width="12.7109375" style="129" customWidth="1"/>
    <col min="8962" max="8962" width="12.140625" style="129" bestFit="1" customWidth="1"/>
    <col min="8963" max="8965" width="10.7109375" style="129"/>
    <col min="8966" max="8966" width="12.42578125" style="129" bestFit="1" customWidth="1"/>
    <col min="8967" max="8967" width="10.7109375" style="129"/>
    <col min="8968" max="8968" width="12.7109375" style="129" bestFit="1" customWidth="1"/>
    <col min="8969" max="9216" width="10.7109375" style="129"/>
    <col min="9217" max="9217" width="12.7109375" style="129" customWidth="1"/>
    <col min="9218" max="9218" width="12.140625" style="129" bestFit="1" customWidth="1"/>
    <col min="9219" max="9221" width="10.7109375" style="129"/>
    <col min="9222" max="9222" width="12.42578125" style="129" bestFit="1" customWidth="1"/>
    <col min="9223" max="9223" width="10.7109375" style="129"/>
    <col min="9224" max="9224" width="12.7109375" style="129" bestFit="1" customWidth="1"/>
    <col min="9225" max="9472" width="10.7109375" style="129"/>
    <col min="9473" max="9473" width="12.7109375" style="129" customWidth="1"/>
    <col min="9474" max="9474" width="12.140625" style="129" bestFit="1" customWidth="1"/>
    <col min="9475" max="9477" width="10.7109375" style="129"/>
    <col min="9478" max="9478" width="12.42578125" style="129" bestFit="1" customWidth="1"/>
    <col min="9479" max="9479" width="10.7109375" style="129"/>
    <col min="9480" max="9480" width="12.7109375" style="129" bestFit="1" customWidth="1"/>
    <col min="9481" max="9728" width="10.7109375" style="129"/>
    <col min="9729" max="9729" width="12.7109375" style="129" customWidth="1"/>
    <col min="9730" max="9730" width="12.140625" style="129" bestFit="1" customWidth="1"/>
    <col min="9731" max="9733" width="10.7109375" style="129"/>
    <col min="9734" max="9734" width="12.42578125" style="129" bestFit="1" customWidth="1"/>
    <col min="9735" max="9735" width="10.7109375" style="129"/>
    <col min="9736" max="9736" width="12.7109375" style="129" bestFit="1" customWidth="1"/>
    <col min="9737" max="9984" width="10.7109375" style="129"/>
    <col min="9985" max="9985" width="12.7109375" style="129" customWidth="1"/>
    <col min="9986" max="9986" width="12.140625" style="129" bestFit="1" customWidth="1"/>
    <col min="9987" max="9989" width="10.7109375" style="129"/>
    <col min="9990" max="9990" width="12.42578125" style="129" bestFit="1" customWidth="1"/>
    <col min="9991" max="9991" width="10.7109375" style="129"/>
    <col min="9992" max="9992" width="12.7109375" style="129" bestFit="1" customWidth="1"/>
    <col min="9993" max="10240" width="10.7109375" style="129"/>
    <col min="10241" max="10241" width="12.7109375" style="129" customWidth="1"/>
    <col min="10242" max="10242" width="12.140625" style="129" bestFit="1" customWidth="1"/>
    <col min="10243" max="10245" width="10.7109375" style="129"/>
    <col min="10246" max="10246" width="12.42578125" style="129" bestFit="1" customWidth="1"/>
    <col min="10247" max="10247" width="10.7109375" style="129"/>
    <col min="10248" max="10248" width="12.7109375" style="129" bestFit="1" customWidth="1"/>
    <col min="10249" max="10496" width="10.7109375" style="129"/>
    <col min="10497" max="10497" width="12.7109375" style="129" customWidth="1"/>
    <col min="10498" max="10498" width="12.140625" style="129" bestFit="1" customWidth="1"/>
    <col min="10499" max="10501" width="10.7109375" style="129"/>
    <col min="10502" max="10502" width="12.42578125" style="129" bestFit="1" customWidth="1"/>
    <col min="10503" max="10503" width="10.7109375" style="129"/>
    <col min="10504" max="10504" width="12.7109375" style="129" bestFit="1" customWidth="1"/>
    <col min="10505" max="10752" width="10.7109375" style="129"/>
    <col min="10753" max="10753" width="12.7109375" style="129" customWidth="1"/>
    <col min="10754" max="10754" width="12.140625" style="129" bestFit="1" customWidth="1"/>
    <col min="10755" max="10757" width="10.7109375" style="129"/>
    <col min="10758" max="10758" width="12.42578125" style="129" bestFit="1" customWidth="1"/>
    <col min="10759" max="10759" width="10.7109375" style="129"/>
    <col min="10760" max="10760" width="12.7109375" style="129" bestFit="1" customWidth="1"/>
    <col min="10761" max="11008" width="10.7109375" style="129"/>
    <col min="11009" max="11009" width="12.7109375" style="129" customWidth="1"/>
    <col min="11010" max="11010" width="12.140625" style="129" bestFit="1" customWidth="1"/>
    <col min="11011" max="11013" width="10.7109375" style="129"/>
    <col min="11014" max="11014" width="12.42578125" style="129" bestFit="1" customWidth="1"/>
    <col min="11015" max="11015" width="10.7109375" style="129"/>
    <col min="11016" max="11016" width="12.7109375" style="129" bestFit="1" customWidth="1"/>
    <col min="11017" max="11264" width="10.7109375" style="129"/>
    <col min="11265" max="11265" width="12.7109375" style="129" customWidth="1"/>
    <col min="11266" max="11266" width="12.140625" style="129" bestFit="1" customWidth="1"/>
    <col min="11267" max="11269" width="10.7109375" style="129"/>
    <col min="11270" max="11270" width="12.42578125" style="129" bestFit="1" customWidth="1"/>
    <col min="11271" max="11271" width="10.7109375" style="129"/>
    <col min="11272" max="11272" width="12.7109375" style="129" bestFit="1" customWidth="1"/>
    <col min="11273" max="11520" width="10.7109375" style="129"/>
    <col min="11521" max="11521" width="12.7109375" style="129" customWidth="1"/>
    <col min="11522" max="11522" width="12.140625" style="129" bestFit="1" customWidth="1"/>
    <col min="11523" max="11525" width="10.7109375" style="129"/>
    <col min="11526" max="11526" width="12.42578125" style="129" bestFit="1" customWidth="1"/>
    <col min="11527" max="11527" width="10.7109375" style="129"/>
    <col min="11528" max="11528" width="12.7109375" style="129" bestFit="1" customWidth="1"/>
    <col min="11529" max="11776" width="10.7109375" style="129"/>
    <col min="11777" max="11777" width="12.7109375" style="129" customWidth="1"/>
    <col min="11778" max="11778" width="12.140625" style="129" bestFit="1" customWidth="1"/>
    <col min="11779" max="11781" width="10.7109375" style="129"/>
    <col min="11782" max="11782" width="12.42578125" style="129" bestFit="1" customWidth="1"/>
    <col min="11783" max="11783" width="10.7109375" style="129"/>
    <col min="11784" max="11784" width="12.7109375" style="129" bestFit="1" customWidth="1"/>
    <col min="11785" max="12032" width="10.7109375" style="129"/>
    <col min="12033" max="12033" width="12.7109375" style="129" customWidth="1"/>
    <col min="12034" max="12034" width="12.140625" style="129" bestFit="1" customWidth="1"/>
    <col min="12035" max="12037" width="10.7109375" style="129"/>
    <col min="12038" max="12038" width="12.42578125" style="129" bestFit="1" customWidth="1"/>
    <col min="12039" max="12039" width="10.7109375" style="129"/>
    <col min="12040" max="12040" width="12.7109375" style="129" bestFit="1" customWidth="1"/>
    <col min="12041" max="12288" width="10.7109375" style="129"/>
    <col min="12289" max="12289" width="12.7109375" style="129" customWidth="1"/>
    <col min="12290" max="12290" width="12.140625" style="129" bestFit="1" customWidth="1"/>
    <col min="12291" max="12293" width="10.7109375" style="129"/>
    <col min="12294" max="12294" width="12.42578125" style="129" bestFit="1" customWidth="1"/>
    <col min="12295" max="12295" width="10.7109375" style="129"/>
    <col min="12296" max="12296" width="12.7109375" style="129" bestFit="1" customWidth="1"/>
    <col min="12297" max="12544" width="10.7109375" style="129"/>
    <col min="12545" max="12545" width="12.7109375" style="129" customWidth="1"/>
    <col min="12546" max="12546" width="12.140625" style="129" bestFit="1" customWidth="1"/>
    <col min="12547" max="12549" width="10.7109375" style="129"/>
    <col min="12550" max="12550" width="12.42578125" style="129" bestFit="1" customWidth="1"/>
    <col min="12551" max="12551" width="10.7109375" style="129"/>
    <col min="12552" max="12552" width="12.7109375" style="129" bestFit="1" customWidth="1"/>
    <col min="12553" max="12800" width="10.7109375" style="129"/>
    <col min="12801" max="12801" width="12.7109375" style="129" customWidth="1"/>
    <col min="12802" max="12802" width="12.140625" style="129" bestFit="1" customWidth="1"/>
    <col min="12803" max="12805" width="10.7109375" style="129"/>
    <col min="12806" max="12806" width="12.42578125" style="129" bestFit="1" customWidth="1"/>
    <col min="12807" max="12807" width="10.7109375" style="129"/>
    <col min="12808" max="12808" width="12.7109375" style="129" bestFit="1" customWidth="1"/>
    <col min="12809" max="13056" width="10.7109375" style="129"/>
    <col min="13057" max="13057" width="12.7109375" style="129" customWidth="1"/>
    <col min="13058" max="13058" width="12.140625" style="129" bestFit="1" customWidth="1"/>
    <col min="13059" max="13061" width="10.7109375" style="129"/>
    <col min="13062" max="13062" width="12.42578125" style="129" bestFit="1" customWidth="1"/>
    <col min="13063" max="13063" width="10.7109375" style="129"/>
    <col min="13064" max="13064" width="12.7109375" style="129" bestFit="1" customWidth="1"/>
    <col min="13065" max="13312" width="10.7109375" style="129"/>
    <col min="13313" max="13313" width="12.7109375" style="129" customWidth="1"/>
    <col min="13314" max="13314" width="12.140625" style="129" bestFit="1" customWidth="1"/>
    <col min="13315" max="13317" width="10.7109375" style="129"/>
    <col min="13318" max="13318" width="12.42578125" style="129" bestFit="1" customWidth="1"/>
    <col min="13319" max="13319" width="10.7109375" style="129"/>
    <col min="13320" max="13320" width="12.7109375" style="129" bestFit="1" customWidth="1"/>
    <col min="13321" max="13568" width="10.7109375" style="129"/>
    <col min="13569" max="13569" width="12.7109375" style="129" customWidth="1"/>
    <col min="13570" max="13570" width="12.140625" style="129" bestFit="1" customWidth="1"/>
    <col min="13571" max="13573" width="10.7109375" style="129"/>
    <col min="13574" max="13574" width="12.42578125" style="129" bestFit="1" customWidth="1"/>
    <col min="13575" max="13575" width="10.7109375" style="129"/>
    <col min="13576" max="13576" width="12.7109375" style="129" bestFit="1" customWidth="1"/>
    <col min="13577" max="13824" width="10.7109375" style="129"/>
    <col min="13825" max="13825" width="12.7109375" style="129" customWidth="1"/>
    <col min="13826" max="13826" width="12.140625" style="129" bestFit="1" customWidth="1"/>
    <col min="13827" max="13829" width="10.7109375" style="129"/>
    <col min="13830" max="13830" width="12.42578125" style="129" bestFit="1" customWidth="1"/>
    <col min="13831" max="13831" width="10.7109375" style="129"/>
    <col min="13832" max="13832" width="12.7109375" style="129" bestFit="1" customWidth="1"/>
    <col min="13833" max="14080" width="10.7109375" style="129"/>
    <col min="14081" max="14081" width="12.7109375" style="129" customWidth="1"/>
    <col min="14082" max="14082" width="12.140625" style="129" bestFit="1" customWidth="1"/>
    <col min="14083" max="14085" width="10.7109375" style="129"/>
    <col min="14086" max="14086" width="12.42578125" style="129" bestFit="1" customWidth="1"/>
    <col min="14087" max="14087" width="10.7109375" style="129"/>
    <col min="14088" max="14088" width="12.7109375" style="129" bestFit="1" customWidth="1"/>
    <col min="14089" max="14336" width="10.7109375" style="129"/>
    <col min="14337" max="14337" width="12.7109375" style="129" customWidth="1"/>
    <col min="14338" max="14338" width="12.140625" style="129" bestFit="1" customWidth="1"/>
    <col min="14339" max="14341" width="10.7109375" style="129"/>
    <col min="14342" max="14342" width="12.42578125" style="129" bestFit="1" customWidth="1"/>
    <col min="14343" max="14343" width="10.7109375" style="129"/>
    <col min="14344" max="14344" width="12.7109375" style="129" bestFit="1" customWidth="1"/>
    <col min="14345" max="14592" width="10.7109375" style="129"/>
    <col min="14593" max="14593" width="12.7109375" style="129" customWidth="1"/>
    <col min="14594" max="14594" width="12.140625" style="129" bestFit="1" customWidth="1"/>
    <col min="14595" max="14597" width="10.7109375" style="129"/>
    <col min="14598" max="14598" width="12.42578125" style="129" bestFit="1" customWidth="1"/>
    <col min="14599" max="14599" width="10.7109375" style="129"/>
    <col min="14600" max="14600" width="12.7109375" style="129" bestFit="1" customWidth="1"/>
    <col min="14601" max="14848" width="10.7109375" style="129"/>
    <col min="14849" max="14849" width="12.7109375" style="129" customWidth="1"/>
    <col min="14850" max="14850" width="12.140625" style="129" bestFit="1" customWidth="1"/>
    <col min="14851" max="14853" width="10.7109375" style="129"/>
    <col min="14854" max="14854" width="12.42578125" style="129" bestFit="1" customWidth="1"/>
    <col min="14855" max="14855" width="10.7109375" style="129"/>
    <col min="14856" max="14856" width="12.7109375" style="129" bestFit="1" customWidth="1"/>
    <col min="14857" max="15104" width="10.7109375" style="129"/>
    <col min="15105" max="15105" width="12.7109375" style="129" customWidth="1"/>
    <col min="15106" max="15106" width="12.140625" style="129" bestFit="1" customWidth="1"/>
    <col min="15107" max="15109" width="10.7109375" style="129"/>
    <col min="15110" max="15110" width="12.42578125" style="129" bestFit="1" customWidth="1"/>
    <col min="15111" max="15111" width="10.7109375" style="129"/>
    <col min="15112" max="15112" width="12.7109375" style="129" bestFit="1" customWidth="1"/>
    <col min="15113" max="15360" width="10.7109375" style="129"/>
    <col min="15361" max="15361" width="12.7109375" style="129" customWidth="1"/>
    <col min="15362" max="15362" width="12.140625" style="129" bestFit="1" customWidth="1"/>
    <col min="15363" max="15365" width="10.7109375" style="129"/>
    <col min="15366" max="15366" width="12.42578125" style="129" bestFit="1" customWidth="1"/>
    <col min="15367" max="15367" width="10.7109375" style="129"/>
    <col min="15368" max="15368" width="12.7109375" style="129" bestFit="1" customWidth="1"/>
    <col min="15369" max="15616" width="10.7109375" style="129"/>
    <col min="15617" max="15617" width="12.7109375" style="129" customWidth="1"/>
    <col min="15618" max="15618" width="12.140625" style="129" bestFit="1" customWidth="1"/>
    <col min="15619" max="15621" width="10.7109375" style="129"/>
    <col min="15622" max="15622" width="12.42578125" style="129" bestFit="1" customWidth="1"/>
    <col min="15623" max="15623" width="10.7109375" style="129"/>
    <col min="15624" max="15624" width="12.7109375" style="129" bestFit="1" customWidth="1"/>
    <col min="15625" max="15872" width="10.7109375" style="129"/>
    <col min="15873" max="15873" width="12.7109375" style="129" customWidth="1"/>
    <col min="15874" max="15874" width="12.140625" style="129" bestFit="1" customWidth="1"/>
    <col min="15875" max="15877" width="10.7109375" style="129"/>
    <col min="15878" max="15878" width="12.42578125" style="129" bestFit="1" customWidth="1"/>
    <col min="15879" max="15879" width="10.7109375" style="129"/>
    <col min="15880" max="15880" width="12.7109375" style="129" bestFit="1" customWidth="1"/>
    <col min="15881" max="16128" width="10.7109375" style="129"/>
    <col min="16129" max="16129" width="12.7109375" style="129" customWidth="1"/>
    <col min="16130" max="16130" width="12.140625" style="129" bestFit="1" customWidth="1"/>
    <col min="16131" max="16133" width="10.7109375" style="129"/>
    <col min="16134" max="16134" width="12.42578125" style="129" bestFit="1" customWidth="1"/>
    <col min="16135" max="16135" width="10.7109375" style="129"/>
    <col min="16136" max="16136" width="12.7109375" style="129" bestFit="1" customWidth="1"/>
    <col min="16137" max="16384" width="10.7109375" style="129"/>
  </cols>
  <sheetData>
    <row r="1" spans="1:14" ht="22.15" customHeight="1" x14ac:dyDescent="0.25">
      <c r="A1" s="127" t="s">
        <v>0</v>
      </c>
      <c r="B1" s="128">
        <f>[18]Input!B1</f>
        <v>2</v>
      </c>
      <c r="C1" s="128" t="str">
        <f>[18]Input!C1</f>
        <v>2022-2023</v>
      </c>
    </row>
    <row r="2" spans="1:14" ht="15" customHeight="1" x14ac:dyDescent="0.25">
      <c r="A2" s="130"/>
      <c r="B2" s="131" t="s">
        <v>3</v>
      </c>
      <c r="C2" s="132"/>
      <c r="D2" s="131" t="s">
        <v>4</v>
      </c>
      <c r="E2" s="133"/>
      <c r="F2" s="134" t="s">
        <v>225</v>
      </c>
    </row>
    <row r="3" spans="1:14" ht="15" customHeight="1" x14ac:dyDescent="0.25">
      <c r="A3" s="135" t="s">
        <v>6</v>
      </c>
      <c r="B3" s="136">
        <f>[18]Input!B3</f>
        <v>58495.249399694701</v>
      </c>
      <c r="C3" s="137">
        <f>C4+C5</f>
        <v>1</v>
      </c>
      <c r="D3" s="138">
        <f>[18]Input!D3</f>
        <v>2479.0600000000009</v>
      </c>
      <c r="E3" s="137">
        <f>E4+E5</f>
        <v>0.99999999999999989</v>
      </c>
      <c r="F3" s="139" t="s">
        <v>7</v>
      </c>
      <c r="H3" s="140" t="s">
        <v>10</v>
      </c>
      <c r="I3" s="141">
        <v>0.7</v>
      </c>
      <c r="J3" s="142">
        <f>I3*B3</f>
        <v>40946.67457978629</v>
      </c>
      <c r="K3" s="143" t="s">
        <v>9</v>
      </c>
      <c r="L3" s="144">
        <f>L54+L57</f>
        <v>40946.674579786282</v>
      </c>
      <c r="M3" s="145">
        <f>L3/(L4+L3)</f>
        <v>0.7</v>
      </c>
    </row>
    <row r="4" spans="1:14" ht="15" customHeight="1" x14ac:dyDescent="0.25">
      <c r="A4" s="146" t="s">
        <v>11</v>
      </c>
      <c r="B4" s="147">
        <f>[18]Input!B4</f>
        <v>50028.061678746009</v>
      </c>
      <c r="C4" s="148">
        <f>B4/B3</f>
        <v>0.85524999366883825</v>
      </c>
      <c r="D4" s="149">
        <f>[18]Input!D4</f>
        <v>2204.3000000000006</v>
      </c>
      <c r="E4" s="148">
        <f>D4/D3</f>
        <v>0.88916766839043826</v>
      </c>
      <c r="F4" s="150">
        <f>[18]Input!F4</f>
        <v>22.695668320440046</v>
      </c>
      <c r="H4" s="140" t="s">
        <v>12</v>
      </c>
      <c r="I4" s="141">
        <v>0.3</v>
      </c>
      <c r="J4" s="142">
        <f>I4*B3</f>
        <v>17548.574819908408</v>
      </c>
      <c r="K4" s="143" t="s">
        <v>9</v>
      </c>
      <c r="L4" s="144">
        <f>L55+L58</f>
        <v>17548.574819908412</v>
      </c>
      <c r="M4" s="145">
        <f>L4/(L3+L4)</f>
        <v>0.30000000000000004</v>
      </c>
    </row>
    <row r="5" spans="1:14" ht="15" customHeight="1" x14ac:dyDescent="0.25">
      <c r="A5" s="151" t="s">
        <v>13</v>
      </c>
      <c r="B5" s="152">
        <f>[18]Input!B5</f>
        <v>8467.1877209486938</v>
      </c>
      <c r="C5" s="153">
        <f>B5/B3</f>
        <v>0.14475000633116175</v>
      </c>
      <c r="D5" s="154">
        <f>[18]Input!D5</f>
        <v>274.76000000000005</v>
      </c>
      <c r="E5" s="153">
        <f>D5/D3</f>
        <v>0.11083233160956167</v>
      </c>
      <c r="F5" s="155">
        <f>[18]Input!F5</f>
        <v>30.816668077408256</v>
      </c>
    </row>
    <row r="6" spans="1:14" ht="15" customHeight="1" x14ac:dyDescent="0.25">
      <c r="B6" s="156"/>
    </row>
    <row r="7" spans="1:14" ht="15" customHeight="1" x14ac:dyDescent="0.25">
      <c r="A7" s="127" t="s">
        <v>226</v>
      </c>
      <c r="B7" s="136">
        <f>[18]Input!B7</f>
        <v>40722.153909291999</v>
      </c>
      <c r="C7" s="137">
        <f>[18]Input!C7</f>
        <v>1</v>
      </c>
      <c r="D7" s="138">
        <f>[18]Input!D7</f>
        <v>611.28</v>
      </c>
      <c r="E7" s="137">
        <f>[18]Input!E7</f>
        <v>1</v>
      </c>
      <c r="F7" s="157">
        <f>[18]Input!F7</f>
        <v>66.61784110275488</v>
      </c>
      <c r="G7" s="129" t="str">
        <f>[18]Input!G7</f>
        <v>(230 kV)</v>
      </c>
    </row>
    <row r="9" spans="1:14" ht="15" customHeight="1" x14ac:dyDescent="0.25">
      <c r="A9" s="158" t="s">
        <v>227</v>
      </c>
      <c r="B9" s="159" t="s">
        <v>228</v>
      </c>
      <c r="C9" s="160" t="s">
        <v>229</v>
      </c>
      <c r="D9" s="160" t="s">
        <v>230</v>
      </c>
      <c r="E9" s="160" t="s">
        <v>231</v>
      </c>
      <c r="F9" s="160" t="s">
        <v>232</v>
      </c>
      <c r="G9" s="160" t="s">
        <v>233</v>
      </c>
      <c r="H9" s="161" t="s">
        <v>234</v>
      </c>
      <c r="I9" s="161" t="s">
        <v>235</v>
      </c>
      <c r="J9" s="161" t="s">
        <v>236</v>
      </c>
      <c r="K9" s="161" t="s">
        <v>237</v>
      </c>
      <c r="L9" s="161" t="s">
        <v>238</v>
      </c>
      <c r="M9" s="162" t="s">
        <v>239</v>
      </c>
    </row>
    <row r="10" spans="1:14" ht="15" customHeight="1" x14ac:dyDescent="0.25">
      <c r="A10" s="163"/>
      <c r="B10" s="164" t="s">
        <v>240</v>
      </c>
      <c r="C10" s="165" t="s">
        <v>241</v>
      </c>
      <c r="D10" s="165" t="s">
        <v>242</v>
      </c>
      <c r="E10" s="165" t="s">
        <v>243</v>
      </c>
      <c r="F10" s="165" t="s">
        <v>244</v>
      </c>
      <c r="G10" s="165" t="s">
        <v>245</v>
      </c>
      <c r="H10" s="165" t="s">
        <v>246</v>
      </c>
      <c r="I10" s="165" t="s">
        <v>247</v>
      </c>
      <c r="J10" s="165" t="s">
        <v>248</v>
      </c>
      <c r="K10" s="165" t="s">
        <v>249</v>
      </c>
      <c r="L10" s="165" t="s">
        <v>250</v>
      </c>
      <c r="M10" s="166" t="s">
        <v>251</v>
      </c>
    </row>
    <row r="11" spans="1:14" ht="15" customHeight="1" x14ac:dyDescent="0.25">
      <c r="A11" s="158" t="s">
        <v>252</v>
      </c>
      <c r="B11" s="159" t="s">
        <v>253</v>
      </c>
      <c r="C11" s="160" t="s">
        <v>253</v>
      </c>
      <c r="D11" s="160" t="s">
        <v>253</v>
      </c>
      <c r="E11" s="160" t="s">
        <v>253</v>
      </c>
      <c r="F11" s="160" t="s">
        <v>253</v>
      </c>
      <c r="G11" s="160" t="s">
        <v>253</v>
      </c>
      <c r="H11" s="161" t="s">
        <v>254</v>
      </c>
      <c r="I11" s="161" t="s">
        <v>254</v>
      </c>
      <c r="J11" s="161" t="s">
        <v>254</v>
      </c>
      <c r="K11" s="161" t="s">
        <v>254</v>
      </c>
      <c r="L11" s="161" t="s">
        <v>254</v>
      </c>
      <c r="M11" s="162" t="s">
        <v>253</v>
      </c>
    </row>
    <row r="12" spans="1:14" ht="15" customHeight="1" x14ac:dyDescent="0.25">
      <c r="A12" s="167">
        <f>SUM(B12:M12)</f>
        <v>8760</v>
      </c>
      <c r="B12" s="168">
        <f>24*31</f>
        <v>744</v>
      </c>
      <c r="C12" s="169">
        <f>24*31</f>
        <v>744</v>
      </c>
      <c r="D12" s="169">
        <f>24*30</f>
        <v>720</v>
      </c>
      <c r="E12" s="169">
        <f>24*31</f>
        <v>744</v>
      </c>
      <c r="F12" s="169">
        <f>24*30</f>
        <v>720</v>
      </c>
      <c r="G12" s="169">
        <f>24*31</f>
        <v>744</v>
      </c>
      <c r="H12" s="169">
        <f>24*31</f>
        <v>744</v>
      </c>
      <c r="I12" s="169">
        <f>24*28</f>
        <v>672</v>
      </c>
      <c r="J12" s="169">
        <f>24*31</f>
        <v>744</v>
      </c>
      <c r="K12" s="169">
        <f>24*30</f>
        <v>720</v>
      </c>
      <c r="L12" s="169">
        <f>24*31</f>
        <v>744</v>
      </c>
      <c r="M12" s="170">
        <f>24*30</f>
        <v>720</v>
      </c>
      <c r="N12" s="171">
        <f>SUM(B12:M12)</f>
        <v>8760</v>
      </c>
    </row>
    <row r="13" spans="1:14" ht="15" customHeight="1" x14ac:dyDescent="0.25">
      <c r="A13" s="172" t="s">
        <v>255</v>
      </c>
      <c r="B13" s="146">
        <f>[13]M01!$H$13</f>
        <v>744</v>
      </c>
      <c r="C13" s="129">
        <f>[13]M02!$H$13</f>
        <v>744</v>
      </c>
      <c r="D13" s="129">
        <f>[13]M03!$H$13</f>
        <v>720</v>
      </c>
      <c r="E13" s="129">
        <f>[13]M04!$H$13</f>
        <v>744</v>
      </c>
      <c r="F13" s="129">
        <f>[13]M05!$H$13</f>
        <v>720</v>
      </c>
      <c r="G13" s="129">
        <f>[13]M06!$H$13</f>
        <v>744</v>
      </c>
      <c r="H13" s="129">
        <f>[13]M07!$H$13</f>
        <v>744</v>
      </c>
      <c r="I13" s="129">
        <f>[13]M08!$H$13</f>
        <v>672</v>
      </c>
      <c r="J13" s="129">
        <f>[13]M09!$H$13</f>
        <v>744</v>
      </c>
      <c r="K13" s="129">
        <f>[13]M10!$H$13</f>
        <v>720</v>
      </c>
      <c r="L13" s="129">
        <f>[13]M11!$H$13</f>
        <v>744</v>
      </c>
      <c r="M13" s="173">
        <f>[13]M12!$H$13</f>
        <v>720</v>
      </c>
      <c r="N13" s="171">
        <f>SUM(B13:M13)</f>
        <v>8760</v>
      </c>
    </row>
    <row r="14" spans="1:14" ht="15" customHeight="1" x14ac:dyDescent="0.25">
      <c r="A14" s="163" t="s">
        <v>256</v>
      </c>
      <c r="B14" s="174">
        <f>[13]M01!$I$13</f>
        <v>8.493150684931508E-2</v>
      </c>
      <c r="C14" s="175">
        <f>[13]M02!$I$13</f>
        <v>8.4931506849315067E-2</v>
      </c>
      <c r="D14" s="175">
        <f>[13]M03!$I$13</f>
        <v>8.2191780821917804E-2</v>
      </c>
      <c r="E14" s="175">
        <f>[13]M04!$I$13</f>
        <v>8.493150684931508E-2</v>
      </c>
      <c r="F14" s="175">
        <f>[13]M05!$I$13</f>
        <v>8.2191780821917818E-2</v>
      </c>
      <c r="G14" s="175">
        <f>[13]M06!$I$13</f>
        <v>8.4931506849315053E-2</v>
      </c>
      <c r="H14" s="175">
        <f>[13]M07!$I$13</f>
        <v>8.4931506849315067E-2</v>
      </c>
      <c r="I14" s="175">
        <f>[13]M08!$I$13</f>
        <v>7.6712328767123306E-2</v>
      </c>
      <c r="J14" s="175">
        <f>[13]M09!$I$13</f>
        <v>8.4931506849315067E-2</v>
      </c>
      <c r="K14" s="175">
        <f>[13]M10!$I$13</f>
        <v>8.2191780821917804E-2</v>
      </c>
      <c r="L14" s="175">
        <f>[13]M11!$I$13</f>
        <v>8.493150684931508E-2</v>
      </c>
      <c r="M14" s="176">
        <f>[13]M12!$I$13</f>
        <v>8.2191780821917804E-2</v>
      </c>
      <c r="N14" s="177">
        <f>SUM(B14:M14)</f>
        <v>1</v>
      </c>
    </row>
    <row r="16" spans="1:14" ht="20.25" customHeight="1" x14ac:dyDescent="0.25">
      <c r="A16" s="178" t="s">
        <v>26</v>
      </c>
      <c r="B16" s="179">
        <v>1</v>
      </c>
      <c r="C16" s="179">
        <v>2</v>
      </c>
      <c r="D16" s="179">
        <v>3</v>
      </c>
      <c r="E16" s="179">
        <v>4</v>
      </c>
      <c r="F16" s="179">
        <v>5</v>
      </c>
      <c r="G16" s="179">
        <v>6</v>
      </c>
      <c r="H16" s="179">
        <v>7</v>
      </c>
      <c r="I16" s="179">
        <v>8</v>
      </c>
      <c r="J16" s="179">
        <v>9</v>
      </c>
      <c r="K16" s="180">
        <v>10</v>
      </c>
      <c r="L16" s="181" t="s">
        <v>21</v>
      </c>
    </row>
    <row r="17" spans="1:14" ht="25.15" customHeight="1" x14ac:dyDescent="0.25">
      <c r="A17" s="182" t="s">
        <v>257</v>
      </c>
      <c r="B17" s="183" t="s">
        <v>258</v>
      </c>
      <c r="C17" s="183" t="s">
        <v>259</v>
      </c>
      <c r="D17" s="183" t="s">
        <v>260</v>
      </c>
      <c r="E17" s="183" t="s">
        <v>261</v>
      </c>
      <c r="F17" s="183" t="s">
        <v>262</v>
      </c>
      <c r="G17" s="183" t="s">
        <v>263</v>
      </c>
      <c r="H17" s="183" t="s">
        <v>264</v>
      </c>
      <c r="I17" s="183" t="s">
        <v>265</v>
      </c>
      <c r="J17" s="183" t="s">
        <v>266</v>
      </c>
      <c r="K17" s="184" t="s">
        <v>267</v>
      </c>
      <c r="L17" s="185"/>
    </row>
    <row r="18" spans="1:14" ht="20.25" customHeight="1" x14ac:dyDescent="0.25">
      <c r="A18" s="186" t="s">
        <v>268</v>
      </c>
      <c r="L18" s="187"/>
    </row>
    <row r="19" spans="1:14" ht="15" customHeight="1" x14ac:dyDescent="0.25">
      <c r="A19" s="158" t="s">
        <v>269</v>
      </c>
      <c r="B19" s="188">
        <f>[18]Input!B11</f>
        <v>294.17</v>
      </c>
      <c r="C19" s="189">
        <f>[18]Input!C11</f>
        <v>428.69</v>
      </c>
      <c r="D19" s="189">
        <f>[18]Input!D11</f>
        <v>152.99</v>
      </c>
      <c r="E19" s="189">
        <f>[18]Input!E11</f>
        <v>404.21000000000004</v>
      </c>
      <c r="F19" s="189">
        <f>[18]Input!F11</f>
        <v>933.57999999999993</v>
      </c>
      <c r="G19" s="189">
        <f>[18]Input!G11</f>
        <v>147</v>
      </c>
      <c r="H19" s="189">
        <f>[18]Input!H11</f>
        <v>159.33000000000001</v>
      </c>
      <c r="I19" s="189">
        <f>[18]Input!I11</f>
        <v>260</v>
      </c>
      <c r="J19" s="189">
        <f>[18]Input!J11</f>
        <v>740.25</v>
      </c>
      <c r="K19" s="190">
        <f>[18]Input!K11</f>
        <v>252.17</v>
      </c>
      <c r="L19" s="191">
        <f>SUM(B19:K19)</f>
        <v>3772.39</v>
      </c>
    </row>
    <row r="20" spans="1:14" ht="15" customHeight="1" x14ac:dyDescent="0.25">
      <c r="A20" s="163" t="s">
        <v>23</v>
      </c>
      <c r="B20" s="192">
        <f>[18]Input!B12</f>
        <v>19.914304269917743</v>
      </c>
      <c r="C20" s="193">
        <f>[18]Input!C12</f>
        <v>0</v>
      </c>
      <c r="D20" s="193">
        <f>[18]Input!D12</f>
        <v>9.1459859130985102E-2</v>
      </c>
      <c r="E20" s="193">
        <f>[18]Input!E12</f>
        <v>123.57224114539488</v>
      </c>
      <c r="F20" s="193">
        <f>[18]Input!F12</f>
        <v>604.83943735193509</v>
      </c>
      <c r="G20" s="193">
        <f>[18]Input!G12</f>
        <v>180.24893333333333</v>
      </c>
      <c r="H20" s="193">
        <f>[18]Input!H12</f>
        <v>1123.6969575106157</v>
      </c>
      <c r="I20" s="193">
        <f>[18]Input!I12</f>
        <v>1.31</v>
      </c>
      <c r="J20" s="193">
        <f>[18]Input!J12</f>
        <v>148.55000000000001</v>
      </c>
      <c r="K20" s="194">
        <f>[18]Input!K12</f>
        <v>64.363653074839306</v>
      </c>
      <c r="L20" s="195">
        <f>SUM(B20:K20)</f>
        <v>2266.5869865451673</v>
      </c>
    </row>
    <row r="21" spans="1:14" ht="20.25" customHeight="1" x14ac:dyDescent="0.25">
      <c r="A21" s="186" t="s">
        <v>270</v>
      </c>
      <c r="L21" s="187"/>
    </row>
    <row r="22" spans="1:14" ht="15" customHeight="1" x14ac:dyDescent="0.25">
      <c r="A22" s="158" t="s">
        <v>271</v>
      </c>
      <c r="B22" s="188">
        <f>SUM([13]M01!B21*$B$14,[13]M02!B21*$C$14,[13]M03!B21*$D$14,[13]M04!B21*$E$14,[13]M05!B21*$F$14,[13]M06!B21*$G$14,[13]M07!B21*$H$14,[13]M08!B21*$I$14,[13]M09!B21*$J$14,[13]M10!B21*$K$14,[13]M11!B21*$L$14,[13]M12!B21*$M$14)/$N$14</f>
        <v>137.74447282890409</v>
      </c>
      <c r="C22" s="189">
        <f>SUM([13]M01!C21*$B$14,[13]M02!C21*$C$14,[13]M03!C21*$D$14,[13]M04!C21*$E$14,[13]M05!C21*$F$14,[13]M06!C21*$G$14,[13]M07!C21*$H$14,[13]M08!C21*$I$14,[13]M09!C21*$J$14,[13]M10!C21*$K$14,[13]M11!C21*$L$14,[13]M12!C21*$M$14)/$N$14</f>
        <v>289.81480942230593</v>
      </c>
      <c r="D22" s="189">
        <f>SUM([13]M01!D21*$B$14,[13]M02!D21*$C$14,[13]M03!D21*$D$14,[13]M04!D21*$E$14,[13]M05!D21*$F$14,[13]M06!D21*$G$14,[13]M07!D21*$H$14,[13]M08!D21*$I$14,[13]M09!D21*$J$14,[13]M10!D21*$K$14,[13]M11!D21*$L$14,[13]M12!D21*$M$14)/$N$14</f>
        <v>88.837477236175829</v>
      </c>
      <c r="E22" s="189">
        <f>SUM([13]M01!E21*$B$14,[13]M02!E21*$C$14,[13]M03!E21*$D$14,[13]M04!E21*$E$14,[13]M05!E21*$F$14,[13]M06!E21*$G$14,[13]M07!E21*$H$14,[13]M08!E21*$I$14,[13]M09!E21*$J$14,[13]M10!E21*$K$14,[13]M11!E21*$L$14,[13]M12!E21*$M$14)/$N$14</f>
        <v>245.28263206401829</v>
      </c>
      <c r="F22" s="189">
        <f>SUM([13]M01!F21*$B$14,[13]M02!F21*$C$14,[13]M03!F21*$D$14,[13]M04!F21*$E$14,[13]M05!F21*$F$14,[13]M06!F21*$G$14,[13]M07!F21*$H$14,[13]M08!F21*$I$14,[13]M09!F21*$J$14,[13]M10!F21*$K$14,[13]M11!F21*$L$14,[13]M12!F21*$M$14)/$N$14</f>
        <v>154.95830913490866</v>
      </c>
      <c r="G22" s="189">
        <f>SUM([13]M01!G21*$B$14,[13]M02!G21*$C$14,[13]M03!G21*$D$14,[13]M04!G21*$E$14,[13]M05!G21*$F$14,[13]M06!G21*$G$14,[13]M07!G21*$H$14,[13]M08!G21*$I$14,[13]M09!G21*$J$14,[13]M10!G21*$K$14,[13]M11!G21*$L$14,[13]M12!G21*$M$14)/$N$14</f>
        <v>35.885630409132425</v>
      </c>
      <c r="H22" s="189">
        <f>SUM([13]M01!H21*$B$14,[13]M02!H21*$C$14,[13]M03!H21*$D$14,[13]M04!H21*$E$14,[13]M05!H21*$F$14,[13]M06!H21*$G$14,[13]M07!H21*$H$14,[13]M08!H21*$I$14,[13]M09!H21*$J$14,[13]M10!H21*$K$14,[13]M11!H21*$L$14,[13]M12!H21*$M$14)/$N$14</f>
        <v>8.1986882375799102</v>
      </c>
      <c r="I22" s="189">
        <f>SUM([13]M01!I21*$B$14,[13]M02!I21*$C$14,[13]M03!I21*$D$14,[13]M04!I21*$E$14,[13]M05!I21*$F$14,[13]M06!I21*$G$14,[13]M07!I21*$H$14,[13]M08!I21*$I$14,[13]M09!I21*$J$14,[13]M10!I21*$K$14,[13]M11!I21*$L$14,[13]M12!I21*$M$14)/$N$14</f>
        <v>64.356308658013688</v>
      </c>
      <c r="J22" s="189">
        <f>SUM([13]M01!J21*$B$14,[13]M02!J21*$C$14,[13]M03!J21*$D$14,[13]M04!J21*$E$14,[13]M05!J21*$F$14,[13]M06!J21*$G$14,[13]M07!J21*$H$14,[13]M08!J21*$I$14,[13]M09!J21*$J$14,[13]M10!J21*$K$14,[13]M11!J21*$L$14,[13]M12!J21*$M$14)/$N$14</f>
        <v>189.63892077867578</v>
      </c>
      <c r="K22" s="190">
        <f>SUM([13]M01!K21*$B$14,[13]M02!K21*$C$14,[13]M03!K21*$D$14,[13]M04!K21*$E$14,[13]M05!K21*$F$14,[13]M06!K21*$G$14,[13]M07!K21*$H$14,[13]M08!K21*$I$14,[13]M09!K21*$J$14,[13]M10!K21*$K$14,[13]M11!K21*$L$14,[13]M12!K21*$M$14)/$N$14</f>
        <v>145.72992365735161</v>
      </c>
      <c r="L22" s="191">
        <f>SUM(B22:K22)</f>
        <v>1360.4471724270661</v>
      </c>
    </row>
    <row r="23" spans="1:14" ht="15" customHeight="1" x14ac:dyDescent="0.25">
      <c r="A23" s="163" t="s">
        <v>272</v>
      </c>
      <c r="B23" s="192">
        <f>SUM([13]M01!B22*$B$14,[13]M02!B22*$C$14,[13]M03!B22*$D$14,[13]M04!B22*$E$14,[13]M05!B22*$F$14,[13]M06!B22*$G$14,[13]M07!B22*$H$14,[13]M08!B22*$I$14,[13]M09!B22*$J$14,[13]M10!B22*$K$14,[13]M11!B22*$L$14,[13]M12!B22*$M$14)/$N$14</f>
        <v>28.43500802583333</v>
      </c>
      <c r="C23" s="193">
        <f>SUM([13]M01!C22*$B$14,[13]M02!C22*$C$14,[13]M03!C22*$D$14,[13]M04!C22*$E$14,[13]M05!C22*$F$14,[13]M06!C22*$G$14,[13]M07!C22*$H$14,[13]M08!C22*$I$14,[13]M09!C22*$J$14,[13]M10!C22*$K$14,[13]M11!C22*$L$14,[13]M12!C22*$M$14)/$N$14</f>
        <v>0</v>
      </c>
      <c r="D23" s="193">
        <f>SUM([13]M01!D22*$B$14,[13]M02!D22*$C$14,[13]M03!D22*$D$14,[13]M04!D22*$E$14,[13]M05!D22*$F$14,[13]M06!D22*$G$14,[13]M07!D22*$H$14,[13]M08!D22*$I$14,[13]M09!D22*$J$14,[13]M10!D22*$K$14,[13]M11!D22*$L$14,[13]M12!D22*$M$14)/$N$14</f>
        <v>5.3592414874429228E-2</v>
      </c>
      <c r="E23" s="193">
        <f>SUM([13]M01!E22*$B$14,[13]M02!E22*$C$14,[13]M03!E22*$D$14,[13]M04!E22*$E$14,[13]M05!E22*$F$14,[13]M06!E22*$G$14,[13]M07!E22*$H$14,[13]M08!E22*$I$14,[13]M09!E22*$J$14,[13]M10!E22*$K$14,[13]M11!E22*$L$14,[13]M12!E22*$M$14)/$N$14</f>
        <v>61.154651242579902</v>
      </c>
      <c r="F23" s="193">
        <f>SUM([13]M01!F22*$B$14,[13]M02!F22*$C$14,[13]M03!F22*$D$14,[13]M04!F22*$E$14,[13]M05!F22*$F$14,[13]M06!F22*$G$14,[13]M07!F22*$H$14,[13]M08!F22*$I$14,[13]M09!F22*$J$14,[13]M10!F22*$K$14,[13]M11!F22*$L$14,[13]M12!F22*$M$14)/$N$14</f>
        <v>167.12736750078767</v>
      </c>
      <c r="G23" s="193">
        <f>SUM([13]M01!G22*$B$14,[13]M02!G22*$C$14,[13]M03!G22*$D$14,[13]M04!G22*$E$14,[13]M05!G22*$F$14,[13]M06!G22*$G$14,[13]M07!G22*$H$14,[13]M08!G22*$I$14,[13]M09!G22*$J$14,[13]M10!G22*$K$14,[13]M11!G22*$L$14,[13]M12!G22*$M$14)/$N$14</f>
        <v>132.43963505041097</v>
      </c>
      <c r="H23" s="193">
        <f>SUM([13]M01!H22*$B$14,[13]M02!H22*$C$14,[13]M03!H22*$D$14,[13]M04!H22*$E$14,[13]M05!H22*$F$14,[13]M06!H22*$G$14,[13]M07!H22*$H$14,[13]M08!H22*$I$14,[13]M09!H22*$J$14,[13]M10!H22*$K$14,[13]M11!H22*$L$14,[13]M12!H22*$M$14)/$N$14</f>
        <v>730.51283884339034</v>
      </c>
      <c r="I23" s="193">
        <f>SUM([13]M01!I22*$B$14,[13]M02!I22*$C$14,[13]M03!I22*$D$14,[13]M04!I22*$E$14,[13]M05!I22*$F$14,[13]M06!I22*$G$14,[13]M07!I22*$H$14,[13]M08!I22*$I$14,[13]M09!I22*$J$14,[13]M10!I22*$K$14,[13]M11!I22*$L$14,[13]M12!I22*$M$14)/$N$14</f>
        <v>0.43489089315068497</v>
      </c>
      <c r="J23" s="193">
        <f>SUM([13]M01!J22*$B$14,[13]M02!J22*$C$14,[13]M03!J22*$D$14,[13]M04!J22*$E$14,[13]M05!J22*$F$14,[13]M06!J22*$G$14,[13]M07!J22*$H$14,[13]M08!J22*$I$14,[13]M09!J22*$J$14,[13]M10!J22*$K$14,[13]M11!J22*$L$14,[13]M12!J22*$M$14)/$N$14</f>
        <v>96.036526342123295</v>
      </c>
      <c r="K23" s="194">
        <f>SUM([13]M01!K22*$B$14,[13]M02!K22*$C$14,[13]M03!K22*$D$14,[13]M04!K22*$E$14,[13]M05!K22*$F$14,[13]M06!K22*$G$14,[13]M07!K22*$H$14,[13]M08!K22*$I$14,[13]M09!K22*$J$14,[13]M10!K22*$K$14,[13]M11!K22*$L$14,[13]M12!K22*$M$14)/$N$14</f>
        <v>22.135536396255709</v>
      </c>
      <c r="L23" s="195">
        <f>SUM(B23:K23)</f>
        <v>1238.3300467094064</v>
      </c>
    </row>
    <row r="24" spans="1:14" ht="20.25" customHeight="1" x14ac:dyDescent="0.25">
      <c r="A24" s="186" t="s">
        <v>273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187"/>
    </row>
    <row r="25" spans="1:14" ht="15" customHeight="1" x14ac:dyDescent="0.25">
      <c r="A25" s="158" t="s">
        <v>274</v>
      </c>
      <c r="B25" s="188">
        <f>SUM([13]M01!B24,[13]M02!B24,[13]M03!B24,[13]M04!B24,[13]M05!B24,[13]M06!B24,[13]M07!B24,[13]M08!B24,[13]M09!B24,[13]M10!B24,[13]M11!B24,[13]M12!B24)</f>
        <v>1206.6415819812</v>
      </c>
      <c r="C25" s="189">
        <f>SUM([13]M01!C24,[13]M02!C24,[13]M03!C24,[13]M04!C24,[13]M05!C24,[13]M06!C24,[13]M07!C24,[13]M08!C24,[13]M09!C24,[13]M10!C24,[13]M11!C24,[13]M12!C24)</f>
        <v>2538.7777305394002</v>
      </c>
      <c r="D25" s="189">
        <f>SUM([13]M01!D24,[13]M02!D24,[13]M03!D24,[13]M04!D24,[13]M05!D24,[13]M06!D24,[13]M07!D24,[13]M08!D24,[13]M09!D24,[13]M10!D24,[13]M11!D24,[13]M12!D24)</f>
        <v>778.21630058890003</v>
      </c>
      <c r="E25" s="189">
        <f>SUM([13]M01!E24,[13]M02!E24,[13]M03!E24,[13]M04!E24,[13]M05!E24,[13]M06!E24,[13]M07!E24,[13]M08!E24,[13]M09!E24,[13]M10!E24,[13]M11!E24,[13]M12!E24)</f>
        <v>2148.6758568807995</v>
      </c>
      <c r="F25" s="189">
        <f>SUM([13]M01!F24,[13]M02!F24,[13]M03!F24,[13]M04!F24,[13]M05!F24,[13]M06!F24,[13]M07!F24,[13]M08!F24,[13]M09!F24,[13]M10!F24,[13]M11!F24,[13]M12!F24)</f>
        <v>1357.4347880217999</v>
      </c>
      <c r="G25" s="189">
        <f>SUM([13]M01!G24,[13]M02!G24,[13]M03!G24,[13]M04!G24,[13]M05!G24,[13]M06!G24,[13]M07!G24,[13]M08!G24,[13]M09!G24,[13]M10!G24,[13]M11!G24,[13]M12!G24)</f>
        <v>314.35812238400001</v>
      </c>
      <c r="H25" s="189">
        <f>SUM([13]M01!H24,[13]M02!H24,[13]M03!H24,[13]M04!H24,[13]M05!H24,[13]M06!H24,[13]M07!H24,[13]M08!H24,[13]M09!H24,[13]M10!H24,[13]M11!H24,[13]M12!H24)</f>
        <v>71.820508961200019</v>
      </c>
      <c r="I25" s="189">
        <f>SUM([13]M01!I24,[13]M02!I24,[13]M03!I24,[13]M04!I24,[13]M05!I24,[13]M06!I24,[13]M07!I24,[13]M08!I24,[13]M09!I24,[13]M10!I24,[13]M11!I24,[13]M12!I24)</f>
        <v>563.76126384420002</v>
      </c>
      <c r="J25" s="189">
        <f>SUM([13]M01!J24,[13]M02!J24,[13]M03!J24,[13]M04!J24,[13]M05!J24,[13]M06!J24,[13]M07!J24,[13]M08!J24,[13]M09!J24,[13]M10!J24,[13]M11!J24,[13]M12!J24)</f>
        <v>1661.2369460212001</v>
      </c>
      <c r="K25" s="190">
        <f>SUM([13]M01!K24,[13]M02!K24,[13]M03!K24,[13]M04!K24,[13]M05!K24,[13]M06!K24,[13]M07!K24,[13]M08!K24,[13]M09!K24,[13]M10!K24,[13]M11!K24,[13]M12!K24)</f>
        <v>1276.5941312384002</v>
      </c>
      <c r="L25" s="191">
        <f>SUM(B25:K25)</f>
        <v>11917.517230461101</v>
      </c>
    </row>
    <row r="26" spans="1:14" ht="15" customHeight="1" x14ac:dyDescent="0.25">
      <c r="A26" s="163" t="s">
        <v>275</v>
      </c>
      <c r="B26" s="192">
        <f>SUM([13]M01!B25,[13]M02!B25,[13]M03!B25,[13]M04!B25,[13]M05!B25,[13]M06!B25,[13]M07!B25,[13]M08!B25,[13]M09!B25,[13]M10!B25,[13]M11!B25,[13]M12!B25)</f>
        <v>249.09067030629998</v>
      </c>
      <c r="C26" s="193">
        <f>SUM([13]M01!C25,[13]M02!C25,[13]M03!C25,[13]M04!C25,[13]M05!C25,[13]M06!C25,[13]M07!C25,[13]M08!C25,[13]M09!C25,[13]M10!C25,[13]M11!C25,[13]M12!C25)</f>
        <v>0</v>
      </c>
      <c r="D26" s="193">
        <f>SUM([13]M01!D25,[13]M02!D25,[13]M03!D25,[13]M04!D25,[13]M05!D25,[13]M06!D25,[13]M07!D25,[13]M08!D25,[13]M09!D25,[13]M10!D25,[13]M11!D25,[13]M12!D25)</f>
        <v>0.46946955430000004</v>
      </c>
      <c r="E26" s="193">
        <f>SUM([13]M01!E25,[13]M02!E25,[13]M03!E25,[13]M04!E25,[13]M05!E25,[13]M06!E25,[13]M07!E25,[13]M08!E25,[13]M09!E25,[13]M10!E25,[13]M11!E25,[13]M12!E25)</f>
        <v>535.71474488500007</v>
      </c>
      <c r="F26" s="193">
        <f>SUM([13]M01!F25,[13]M02!F25,[13]M03!F25,[13]M04!F25,[13]M05!F25,[13]M06!F25,[13]M07!F25,[13]M08!F25,[13]M09!F25,[13]M10!F25,[13]M11!F25,[13]M12!F25)</f>
        <v>1464.0357393069</v>
      </c>
      <c r="G26" s="193">
        <f>SUM([13]M01!G25,[13]M02!G25,[13]M03!G25,[13]M04!G25,[13]M05!G25,[13]M06!G25,[13]M07!G25,[13]M08!G25,[13]M09!G25,[13]M10!G25,[13]M11!G25,[13]M12!G25)</f>
        <v>1160.1712030416002</v>
      </c>
      <c r="H26" s="193">
        <f>SUM([13]M01!H25,[13]M02!H25,[13]M03!H25,[13]M04!H25,[13]M05!H25,[13]M06!H25,[13]M07!H25,[13]M08!H25,[13]M09!H25,[13]M10!H25,[13]M11!H25,[13]M12!H25)</f>
        <v>6399.2924682680987</v>
      </c>
      <c r="I26" s="193">
        <f>SUM([13]M01!I25,[13]M02!I25,[13]M03!I25,[13]M04!I25,[13]M05!I25,[13]M06!I25,[13]M07!I25,[13]M08!I25,[13]M09!I25,[13]M10!I25,[13]M11!I25,[13]M12!I25)</f>
        <v>3.8096442239999999</v>
      </c>
      <c r="J26" s="193">
        <f>SUM([13]M01!J25,[13]M02!J25,[13]M03!J25,[13]M04!J25,[13]M05!J25,[13]M06!J25,[13]M07!J25,[13]M08!J25,[13]M09!J25,[13]M10!J25,[13]M11!J25,[13]M12!J25)</f>
        <v>841.279970757</v>
      </c>
      <c r="K26" s="194">
        <f>SUM([13]M01!K25,[13]M02!K25,[13]M03!K25,[13]M04!K25,[13]M05!K25,[13]M06!K25,[13]M07!K25,[13]M08!K25,[13]M09!K25,[13]M10!K25,[13]M11!K25,[13]M12!K25)</f>
        <v>193.90729883120002</v>
      </c>
      <c r="L26" s="195">
        <f>SUM(B26:K26)</f>
        <v>10847.7712091744</v>
      </c>
    </row>
    <row r="27" spans="1:14" ht="9.9499999999999993" customHeight="1" x14ac:dyDescent="0.25"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7"/>
      <c r="N27" s="198"/>
    </row>
    <row r="28" spans="1:14" ht="20.25" customHeight="1" x14ac:dyDescent="0.25">
      <c r="A28" s="186" t="s">
        <v>276</v>
      </c>
      <c r="L28" s="187"/>
      <c r="N28" s="198"/>
    </row>
    <row r="29" spans="1:14" ht="15" customHeight="1" x14ac:dyDescent="0.25">
      <c r="A29" s="199" t="s">
        <v>218</v>
      </c>
      <c r="B29" s="200">
        <f>SUM([13]M01!B27*$B$14,[13]M02!B27*$C$14,[13]M03!B27*$D$14,[13]M04!B27*$E$14,[13]M05!B27*$F$14,[13]M06!B27*$G$14,[13]M07!B27*$H$14,[13]M08!B27*$I$14,[13]M09!B27*$J$14,[13]M10!B27*$K$14,[13]M11!B27*$L$14,[13]M12!B27*$M$14)/$N$14</f>
        <v>1.6372497316463486</v>
      </c>
      <c r="C29" s="201">
        <f>SUM([13]M01!C27*$B$14,[13]M02!C27*$C$14,[13]M03!C27*$D$14,[13]M04!C27*$E$14,[13]M05!C27*$F$14,[13]M06!C27*$G$14,[13]M07!C27*$H$14,[13]M08!C27*$I$14,[13]M09!C27*$J$14,[13]M10!C27*$K$14,[13]M11!C27*$L$14,[13]M12!C27*$M$14)/$N$14</f>
        <v>2.7847488689708286</v>
      </c>
      <c r="D29" s="201">
        <f>SUM([13]M01!D27*$B$14,[13]M02!D27*$C$14,[13]M03!D27*$D$14,[13]M04!D27*$E$14,[13]M05!D27*$F$14,[13]M06!D27*$G$14,[13]M07!D27*$H$14,[13]M08!D27*$I$14,[13]M09!D27*$J$14,[13]M10!D27*$K$14,[13]M11!D27*$L$14,[13]M12!D27*$M$14)/$N$14</f>
        <v>2.4104682539528408</v>
      </c>
      <c r="E29" s="201">
        <f>SUM([13]M01!E27*$B$14,[13]M02!E27*$C$14,[13]M03!E27*$D$14,[13]M04!E27*$E$14,[13]M05!E27*$F$14,[13]M06!E27*$G$14,[13]M07!E27*$H$14,[13]M08!E27*$I$14,[13]M09!E27*$J$14,[13]M10!E27*$K$14,[13]M11!E27*$L$14,[13]M12!E27*$M$14)/$N$14</f>
        <v>2.1007160734506116</v>
      </c>
      <c r="F29" s="201">
        <f>SUM([13]M01!F27*$B$14,[13]M02!F27*$C$14,[13]M03!F27*$D$14,[13]M04!F27*$E$14,[13]M05!F27*$F$14,[13]M06!F27*$G$14,[13]M07!F27*$H$14,[13]M08!F27*$I$14,[13]M09!F27*$J$14,[13]M10!F27*$K$14,[13]M11!F27*$L$14,[13]M12!F27*$M$14)/$N$14</f>
        <v>1.1782218124884232</v>
      </c>
      <c r="G29" s="201">
        <f>SUM([13]M01!G27*$B$14,[13]M02!G27*$C$14,[13]M03!G27*$D$14,[13]M04!G27*$E$14,[13]M05!G27*$F$14,[13]M06!G27*$G$14,[13]M07!G27*$H$14,[13]M08!G27*$I$14,[13]M09!G27*$J$14,[13]M10!G27*$K$14,[13]M11!G27*$L$14,[13]M12!G27*$M$14)/$N$14</f>
        <v>0.3484513962505047</v>
      </c>
      <c r="H29" s="201">
        <f>SUM([13]M01!H27*$B$14,[13]M02!H27*$C$14,[13]M03!H27*$D$14,[13]M04!H27*$E$14,[13]M05!H27*$F$14,[13]M06!H27*$G$14,[13]M07!H27*$H$14,[13]M08!H27*$I$14,[13]M09!H27*$J$14,[13]M10!H27*$K$14,[13]M11!H27*$L$14,[13]M12!H27*$M$14)/$N$14</f>
        <v>4.2904245517432424E-2</v>
      </c>
      <c r="I29" s="201">
        <f>SUM([13]M01!I27*$B$14,[13]M02!I27*$C$14,[13]M03!I27*$D$14,[13]M04!I27*$E$14,[13]M05!I27*$F$14,[13]M06!I27*$G$14,[13]M07!I27*$H$14,[13]M08!I27*$I$14,[13]M09!I27*$J$14,[13]M10!I27*$K$14,[13]M11!I27*$L$14,[13]M12!I27*$M$14)/$N$14</f>
        <v>0.76613284334434884</v>
      </c>
      <c r="J29" s="201">
        <f>SUM([13]M01!J27*$B$14,[13]M02!J27*$C$14,[13]M03!J27*$D$14,[13]M04!J27*$E$14,[13]M05!J27*$F$14,[13]M06!J27*$G$14,[13]M07!J27*$H$14,[13]M08!J27*$I$14,[13]M09!J27*$J$14,[13]M10!J27*$K$14,[13]M11!J27*$L$14,[13]M12!J27*$M$14)/$N$14</f>
        <v>0.33781867120373082</v>
      </c>
      <c r="K29" s="202">
        <f>SUM([13]M01!K27*$B$14,[13]M02!K27*$C$14,[13]M03!K27*$D$14,[13]M04!K27*$E$14,[13]M05!K27*$F$14,[13]M06!K27*$G$14,[13]M07!K27*$H$14,[13]M08!K27*$I$14,[13]M09!K27*$J$14,[13]M10!K27*$K$14,[13]M11!K27*$L$14,[13]M12!K27*$M$14)/$N$14</f>
        <v>3.2481697532338205</v>
      </c>
      <c r="L29" s="187"/>
      <c r="N29" s="198"/>
    </row>
    <row r="30" spans="1:14" ht="15" customHeight="1" x14ac:dyDescent="0.25">
      <c r="A30" s="203" t="s">
        <v>277</v>
      </c>
      <c r="B30" s="204">
        <f>SUM([13]M01!B28*$B$14,[13]M02!B28*$C$14,[13]M03!B28*$D$14,[13]M04!B28*$E$14,[13]M05!B28*$F$14,[13]M06!B28*$G$14,[13]M07!B28*$H$14,[13]M08!B28*$I$14,[13]M09!B28*$J$14,[13]M10!B28*$K$14,[13]M11!B28*$L$14,[13]M12!B28*$M$14)/$N$14</f>
        <v>0</v>
      </c>
      <c r="C30" s="205">
        <f>SUM([13]M01!C28*$B$14,[13]M02!C28*$C$14,[13]M03!C28*$D$14,[13]M04!C28*$E$14,[13]M05!C28*$F$14,[13]M06!C28*$G$14,[13]M07!C28*$H$14,[13]M08!C28*$I$14,[13]M09!C28*$J$14,[13]M10!C28*$K$14,[13]M11!C28*$L$14,[13]M12!C28*$M$14)/$N$14</f>
        <v>0</v>
      </c>
      <c r="D30" s="205">
        <f>SUM([13]M01!D28*$B$14,[13]M02!D28*$C$14,[13]M03!D28*$D$14,[13]M04!D28*$E$14,[13]M05!D28*$F$14,[13]M06!D28*$G$14,[13]M07!D28*$H$14,[13]M08!D28*$I$14,[13]M09!D28*$J$14,[13]M10!D28*$K$14,[13]M11!D28*$L$14,[13]M12!D28*$M$14)/$N$14</f>
        <v>0</v>
      </c>
      <c r="E30" s="205">
        <f>SUM([13]M01!E28*$B$14,[13]M02!E28*$C$14,[13]M03!E28*$D$14,[13]M04!E28*$E$14,[13]M05!E28*$F$14,[13]M06!E28*$G$14,[13]M07!E28*$H$14,[13]M08!E28*$I$14,[13]M09!E28*$J$14,[13]M10!E28*$K$14,[13]M11!E28*$L$14,[13]M12!E28*$M$14)/$N$14</f>
        <v>0.40094881436576602</v>
      </c>
      <c r="F30" s="205">
        <f>SUM([13]M01!F28*$B$14,[13]M02!F28*$C$14,[13]M03!F28*$D$14,[13]M04!F28*$E$14,[13]M05!F28*$F$14,[13]M06!F28*$G$14,[13]M07!F28*$H$14,[13]M08!F28*$I$14,[13]M09!F28*$J$14,[13]M10!F28*$K$14,[13]M11!F28*$L$14,[13]M12!F28*$M$14)/$N$14</f>
        <v>0.75234570844705528</v>
      </c>
      <c r="G30" s="205">
        <f>SUM([13]M01!G28*$B$14,[13]M02!G28*$C$14,[13]M03!G28*$D$14,[13]M04!G28*$E$14,[13]M05!G28*$F$14,[13]M06!G28*$G$14,[13]M07!G28*$H$14,[13]M08!G28*$I$14,[13]M09!G28*$J$14,[13]M10!G28*$K$14,[13]M11!G28*$L$14,[13]M12!G28*$M$14)/$N$14</f>
        <v>1.03766943743917</v>
      </c>
      <c r="H30" s="205">
        <f>SUM([13]M01!H28*$B$14,[13]M02!H28*$C$14,[13]M03!H28*$D$14,[13]M04!H28*$E$14,[13]M05!H28*$F$14,[13]M06!H28*$G$14,[13]M07!H28*$H$14,[13]M08!H28*$I$14,[13]M09!H28*$J$14,[13]M10!H28*$K$14,[13]M11!H28*$L$14,[13]M12!H28*$M$14)/$N$14</f>
        <v>0.94495532093738377</v>
      </c>
      <c r="I30" s="205">
        <f>SUM([13]M01!I28*$B$14,[13]M02!I28*$C$14,[13]M03!I28*$D$14,[13]M04!I28*$E$14,[13]M05!I28*$F$14,[13]M06!I28*$G$14,[13]M07!I28*$H$14,[13]M08!I28*$I$14,[13]M09!I28*$J$14,[13]M10!I28*$K$14,[13]M11!I28*$L$14,[13]M12!I28*$M$14)/$N$14</f>
        <v>0</v>
      </c>
      <c r="J30" s="205">
        <f>SUM([13]M01!J28*$B$14,[13]M02!J28*$C$14,[13]M03!J28*$D$14,[13]M04!J28*$E$14,[13]M05!J28*$F$14,[13]M06!J28*$G$14,[13]M07!J28*$H$14,[13]M08!J28*$I$14,[13]M09!J28*$J$14,[13]M10!J28*$K$14,[13]M11!J28*$L$14,[13]M12!J28*$M$14)/$N$14</f>
        <v>1.490693685785297</v>
      </c>
      <c r="K30" s="206">
        <f>SUM([13]M01!K28*$B$14,[13]M02!K28*$C$14,[13]M03!K28*$D$14,[13]M04!K28*$E$14,[13]M05!K28*$F$14,[13]M06!K28*$G$14,[13]M07!K28*$H$14,[13]M08!K28*$I$14,[13]M09!K28*$J$14,[13]M10!K28*$K$14,[13]M11!K28*$L$14,[13]M12!K28*$M$14)/$N$14</f>
        <v>0.1781590379850729</v>
      </c>
      <c r="L30" s="187"/>
      <c r="N30" s="198"/>
    </row>
    <row r="31" spans="1:14" ht="20.25" customHeight="1" x14ac:dyDescent="0.25">
      <c r="A31" s="186" t="s">
        <v>278</v>
      </c>
      <c r="L31" s="187"/>
      <c r="N31" s="198"/>
    </row>
    <row r="32" spans="1:14" ht="15" customHeight="1" x14ac:dyDescent="0.25">
      <c r="A32" s="207" t="s">
        <v>279</v>
      </c>
      <c r="B32" s="208">
        <f>SUM([13]M01!B30,[13]M02!B30,[13]M03!B30,[13]M04!B30,[13]M05!B30,[13]M06!B30,[13]M07!B30,[13]M08!B30,[13]M09!B30,[13]M10!B30,[13]M11!B30,[13]M12!B30)</f>
        <v>5.8823091278187878</v>
      </c>
      <c r="L32" s="187"/>
      <c r="N32" s="198"/>
    </row>
    <row r="33" spans="1:14" ht="15" customHeight="1" x14ac:dyDescent="0.25">
      <c r="A33" s="209" t="s">
        <v>280</v>
      </c>
      <c r="B33" s="210">
        <f>SUM([13]M01!B31,[13]M02!B31,[13]M03!B31,[13]M04!B31,[13]M05!B31,[13]M06!B31,[13]M07!B31,[13]M08!B31,[13]M09!B31,[13]M10!B31,[13]M11!B31,[13]M12!B31)</f>
        <v>4.1440881390515072</v>
      </c>
      <c r="L33" s="187"/>
      <c r="N33" s="198"/>
    </row>
    <row r="34" spans="1:14" ht="20.25" hidden="1" customHeight="1" x14ac:dyDescent="0.25">
      <c r="A34" s="186" t="s">
        <v>281</v>
      </c>
      <c r="L34" s="187"/>
      <c r="N34" s="198"/>
    </row>
    <row r="35" spans="1:14" ht="15" hidden="1" customHeight="1" x14ac:dyDescent="0.25">
      <c r="A35" s="207" t="s">
        <v>279</v>
      </c>
      <c r="B35" s="208" t="e">
        <f>SUM([13]M01!#REF!,[13]M02!#REF!,[13]M03!#REF!,[13]M04!#REF!,[13]M05!#REF!,[13]M06!#REF!,[13]M07!#REF!,[13]M08!#REF!,[13]M09!#REF!,[13]M10!#REF!,[13]M11!#REF!,[13]M12!#REF!)</f>
        <v>#REF!</v>
      </c>
      <c r="L35" s="187"/>
      <c r="N35" s="198"/>
    </row>
    <row r="36" spans="1:14" ht="15" hidden="1" customHeight="1" x14ac:dyDescent="0.25">
      <c r="A36" s="209" t="s">
        <v>280</v>
      </c>
      <c r="B36" s="210" t="e">
        <f>SUM([13]M01!#REF!,[13]M02!#REF!,[13]M03!#REF!,[13]M04!#REF!,[13]M05!#REF!,[13]M06!#REF!,[13]M07!#REF!,[13]M08!#REF!,[13]M09!#REF!,[13]M10!#REF!,[13]M11!#REF!,[13]M12!#REF!)</f>
        <v>#REF!</v>
      </c>
      <c r="L36" s="187"/>
      <c r="N36" s="198"/>
    </row>
    <row r="37" spans="1:14" ht="20.25" customHeight="1" x14ac:dyDescent="0.25">
      <c r="A37" s="186" t="s">
        <v>282</v>
      </c>
      <c r="L37" s="187"/>
      <c r="N37" s="198"/>
    </row>
    <row r="38" spans="1:14" ht="15" customHeight="1" x14ac:dyDescent="0.25">
      <c r="A38" s="211" t="s">
        <v>277</v>
      </c>
      <c r="B38" s="212">
        <f>SUM([13]M01!B33*$B$14,[13]M02!B33*$C$14,[13]M03!B33*$D$14,[13]M04!B33*$E$14,[13]M05!B33*$F$14,[13]M06!B33*$G$14,[13]M07!B33*$H$14,[13]M08!B33*$I$14,[13]M09!B33*$J$14,[13]M10!B33*$K$14,[13]M11!B33*$L$14,[13]M12!B33*$M$14)/$N$14</f>
        <v>0</v>
      </c>
      <c r="C38" s="213">
        <f>SUM([13]M01!C33*$B$14,[13]M02!C33*$C$14,[13]M03!C33*$D$14,[13]M04!C33*$E$14,[13]M05!C33*$F$14,[13]M06!C33*$G$14,[13]M07!C33*$H$14,[13]M08!C33*$I$14,[13]M09!C33*$J$14,[13]M10!C33*$K$14,[13]M11!C33*$L$14,[13]M12!C33*$M$14)/$N$14</f>
        <v>0</v>
      </c>
      <c r="D38" s="213">
        <f>SUM([13]M01!D33*$B$14,[13]M02!D33*$C$14,[13]M03!D33*$D$14,[13]M04!D33*$E$14,[13]M05!D33*$F$14,[13]M06!D33*$G$14,[13]M07!D33*$H$14,[13]M08!D33*$I$14,[13]M09!D33*$J$14,[13]M10!D33*$K$14,[13]M11!D33*$L$14,[13]M12!D33*$M$14)/$N$14</f>
        <v>0</v>
      </c>
      <c r="E38" s="213">
        <f>SUM([13]M01!E33*$B$14,[13]M02!E33*$C$14,[13]M03!E33*$D$14,[13]M04!E33*$E$14,[13]M05!E33*$F$14,[13]M06!E33*$G$14,[13]M07!E33*$H$14,[13]M08!E33*$I$14,[13]M09!E33*$J$14,[13]M10!E33*$K$14,[13]M11!E33*$L$14,[13]M12!E33*$M$14)/$N$14</f>
        <v>0</v>
      </c>
      <c r="F38" s="213">
        <f>SUM([13]M01!F33*$B$14,[13]M02!F33*$C$14,[13]M03!F33*$D$14,[13]M04!F33*$E$14,[13]M05!F33*$F$14,[13]M06!F33*$G$14,[13]M07!F33*$H$14,[13]M08!F33*$I$14,[13]M09!F33*$J$14,[13]M10!F33*$K$14,[13]M11!F33*$L$14,[13]M12!F33*$M$14)/$N$14</f>
        <v>0.75883206521186042</v>
      </c>
      <c r="G38" s="213">
        <f>SUM([13]M01!G33*$B$14,[13]M02!G33*$C$14,[13]M03!G33*$D$14,[13]M04!G33*$E$14,[13]M05!G33*$F$14,[13]M06!G33*$G$14,[13]M07!G33*$H$14,[13]M08!G33*$I$14,[13]M09!G33*$J$14,[13]M10!G33*$K$14,[13]M11!G33*$L$14,[13]M12!G33*$M$14)/$N$14</f>
        <v>1.8496656805201086</v>
      </c>
      <c r="H38" s="213">
        <f>SUM([13]M01!H33*$B$14,[13]M02!H33*$C$14,[13]M03!H33*$D$14,[13]M04!H33*$E$14,[13]M05!H33*$F$14,[13]M06!H33*$G$14,[13]M07!H33*$H$14,[13]M08!H33*$I$14,[13]M09!H33*$J$14,[13]M10!H33*$K$14,[13]M11!H33*$L$14,[13]M12!H33*$M$14)/$N$14</f>
        <v>1.4367285506860943</v>
      </c>
      <c r="I38" s="213">
        <f>SUM([13]M01!I33*$B$14,[13]M02!I33*$C$14,[13]M03!I33*$D$14,[13]M04!I33*$E$14,[13]M05!I33*$F$14,[13]M06!I33*$G$14,[13]M07!I33*$H$14,[13]M08!I33*$I$14,[13]M09!I33*$J$14,[13]M10!I33*$K$14,[13]M11!I33*$L$14,[13]M12!I33*$M$14)/$N$14</f>
        <v>0</v>
      </c>
      <c r="J38" s="213">
        <f>SUM([13]M01!J33*$B$14,[13]M02!J33*$C$14,[13]M03!J33*$D$14,[13]M04!J33*$E$14,[13]M05!J33*$F$14,[13]M06!J33*$G$14,[13]M07!J33*$H$14,[13]M08!J33*$I$14,[13]M09!J33*$J$14,[13]M10!J33*$K$14,[13]M11!J33*$L$14,[13]M12!J33*$M$14)/$N$14</f>
        <v>1.7606400677447378</v>
      </c>
      <c r="K38" s="214">
        <f>SUM([13]M01!K33*$B$14,[13]M02!K33*$C$14,[13]M03!K33*$D$14,[13]M04!K33*$E$14,[13]M05!K33*$F$14,[13]M06!K33*$G$14,[13]M07!K33*$H$14,[13]M08!K33*$I$14,[13]M09!K33*$J$14,[13]M10!K33*$K$14,[13]M11!K33*$L$14,[13]M12!K33*$M$14)/$N$14</f>
        <v>0</v>
      </c>
      <c r="L38" s="187"/>
      <c r="N38" s="198"/>
    </row>
    <row r="39" spans="1:14" ht="20.25" customHeight="1" x14ac:dyDescent="0.25">
      <c r="A39" s="186" t="s">
        <v>283</v>
      </c>
      <c r="L39" s="187"/>
      <c r="N39" s="198"/>
    </row>
    <row r="40" spans="1:14" ht="15" customHeight="1" x14ac:dyDescent="0.25">
      <c r="A40" s="209" t="s">
        <v>280</v>
      </c>
      <c r="B40" s="210">
        <f>SUM([13]M01!I34,[13]M02!I34,[13]M03!I34,[13]M04!I34,[13]M05!I34,[13]M06!I34,[13]M07!I34,[13]M08!I34,[13]M09!I34,[13]M10!I34,[13]M11!I34,[13]M12!I34)</f>
        <v>14.100413592741011</v>
      </c>
      <c r="L40" s="187"/>
      <c r="N40" s="198"/>
    </row>
    <row r="41" spans="1:14" ht="9.9499999999999993" customHeight="1" x14ac:dyDescent="0.25">
      <c r="L41" s="187"/>
      <c r="N41" s="198"/>
    </row>
    <row r="42" spans="1:14" ht="9.9499999999999993" customHeight="1" thickBot="1" x14ac:dyDescent="0.3">
      <c r="L42" s="187"/>
      <c r="N42" s="198"/>
    </row>
    <row r="43" spans="1:14" ht="20.25" customHeight="1" thickTop="1" x14ac:dyDescent="0.25">
      <c r="A43" s="215" t="s">
        <v>284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7"/>
      <c r="L43" s="218"/>
      <c r="N43" s="198"/>
    </row>
    <row r="44" spans="1:14" ht="15" customHeight="1" x14ac:dyDescent="0.25">
      <c r="A44" s="219" t="s">
        <v>218</v>
      </c>
      <c r="B44" s="220">
        <f>IFERROR(B54/B25,0)</f>
        <v>1.554052545022391</v>
      </c>
      <c r="C44" s="221">
        <f t="shared" ref="C44:K44" si="0">IFERROR(C54/C25,0)</f>
        <v>2.7253917327483501</v>
      </c>
      <c r="D44" s="221">
        <f t="shared" si="0"/>
        <v>2.2586871669725141</v>
      </c>
      <c r="E44" s="221">
        <f t="shared" si="0"/>
        <v>1.9927882333052105</v>
      </c>
      <c r="F44" s="221">
        <f t="shared" si="0"/>
        <v>1.3786087798243147</v>
      </c>
      <c r="G44" s="221">
        <f t="shared" si="0"/>
        <v>0.40755922699730973</v>
      </c>
      <c r="H44" s="221">
        <f t="shared" si="0"/>
        <v>0.19068220821215939</v>
      </c>
      <c r="I44" s="221">
        <f t="shared" si="0"/>
        <v>1.1568639765964928</v>
      </c>
      <c r="J44" s="221">
        <f t="shared" si="0"/>
        <v>0.53982088668373007</v>
      </c>
      <c r="K44" s="222">
        <f t="shared" si="0"/>
        <v>3.0699334053362226</v>
      </c>
      <c r="L44" s="218"/>
      <c r="N44" s="198"/>
    </row>
    <row r="45" spans="1:14" ht="15" customHeight="1" x14ac:dyDescent="0.25">
      <c r="A45" s="223" t="s">
        <v>277</v>
      </c>
      <c r="B45" s="224">
        <f t="shared" ref="B45:K45" si="1">IFERROR(B55/B26,0)</f>
        <v>0</v>
      </c>
      <c r="C45" s="224">
        <f t="shared" si="1"/>
        <v>0</v>
      </c>
      <c r="D45" s="224">
        <f t="shared" si="1"/>
        <v>0</v>
      </c>
      <c r="E45" s="224">
        <f t="shared" si="1"/>
        <v>0.41399407288871104</v>
      </c>
      <c r="F45" s="224">
        <f t="shared" si="1"/>
        <v>0.76249091868000729</v>
      </c>
      <c r="G45" s="224">
        <f t="shared" si="1"/>
        <v>1.0286714751991026</v>
      </c>
      <c r="H45" s="224">
        <f t="shared" si="1"/>
        <v>0.90885127832825252</v>
      </c>
      <c r="I45" s="224">
        <f t="shared" si="1"/>
        <v>0</v>
      </c>
      <c r="J45" s="224">
        <f t="shared" si="1"/>
        <v>1.419964774544767</v>
      </c>
      <c r="K45" s="225">
        <f t="shared" si="1"/>
        <v>0.17036341950580905</v>
      </c>
      <c r="L45" s="218"/>
      <c r="N45" s="198"/>
    </row>
    <row r="46" spans="1:14" ht="20.25" customHeight="1" x14ac:dyDescent="0.2">
      <c r="A46" s="226" t="s">
        <v>285</v>
      </c>
      <c r="B46" s="227"/>
      <c r="C46" s="227"/>
      <c r="D46" s="227"/>
      <c r="E46" s="227"/>
      <c r="F46" s="227"/>
      <c r="G46" s="227"/>
      <c r="H46" s="227"/>
      <c r="I46" s="228"/>
      <c r="J46" s="228"/>
      <c r="K46" s="229"/>
      <c r="L46" s="218"/>
      <c r="N46" s="230"/>
    </row>
    <row r="47" spans="1:14" ht="15" customHeight="1" x14ac:dyDescent="0.25">
      <c r="A47" s="231" t="s">
        <v>279</v>
      </c>
      <c r="B47" s="232">
        <f>B32</f>
        <v>5.8823091278187878</v>
      </c>
      <c r="C47" s="233"/>
      <c r="D47" s="233"/>
      <c r="E47" s="228"/>
      <c r="F47" s="228"/>
      <c r="G47" s="228"/>
      <c r="H47" s="227"/>
      <c r="I47" s="228"/>
      <c r="J47" s="228"/>
      <c r="K47" s="229"/>
      <c r="L47" s="218"/>
      <c r="N47" s="234"/>
    </row>
    <row r="48" spans="1:14" ht="15" customHeight="1" x14ac:dyDescent="0.25">
      <c r="A48" s="235" t="s">
        <v>280</v>
      </c>
      <c r="B48" s="236">
        <f>B33+B40</f>
        <v>18.244501731792518</v>
      </c>
      <c r="C48" s="233"/>
      <c r="D48" s="233"/>
      <c r="E48" s="228"/>
      <c r="F48" s="228"/>
      <c r="G48" s="228"/>
      <c r="H48" s="227"/>
      <c r="I48" s="228"/>
      <c r="J48" s="228"/>
      <c r="K48" s="229"/>
      <c r="L48" s="218"/>
      <c r="N48" s="234"/>
    </row>
    <row r="49" spans="1:14" ht="9.9499999999999993" customHeight="1" thickBot="1" x14ac:dyDescent="0.3">
      <c r="A49" s="237"/>
      <c r="B49" s="238"/>
      <c r="C49" s="239"/>
      <c r="D49" s="239"/>
      <c r="E49" s="239"/>
      <c r="F49" s="239"/>
      <c r="G49" s="239"/>
      <c r="H49" s="239"/>
      <c r="I49" s="239"/>
      <c r="J49" s="239"/>
      <c r="K49" s="240"/>
      <c r="L49" s="218"/>
      <c r="N49" s="198"/>
    </row>
    <row r="50" spans="1:14" ht="9.9499999999999993" customHeight="1" thickTop="1" x14ac:dyDescent="0.25">
      <c r="B50" s="241"/>
      <c r="L50" s="187"/>
      <c r="N50" s="198"/>
    </row>
    <row r="51" spans="1:14" ht="20.25" customHeight="1" x14ac:dyDescent="0.25">
      <c r="A51" s="242" t="s">
        <v>286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4">
        <f>ROUND(SUM(L54:L55,L57:L58),3)</f>
        <v>58495.249000000003</v>
      </c>
      <c r="M51" s="244">
        <f>ROUND(B3,3)</f>
        <v>58495.249000000003</v>
      </c>
      <c r="N51" s="284"/>
    </row>
    <row r="52" spans="1:14" ht="20.25" customHeight="1" x14ac:dyDescent="0.25">
      <c r="A52" s="245" t="s">
        <v>287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197"/>
      <c r="M52" s="246">
        <f>M53+M56</f>
        <v>1.0000000068329429</v>
      </c>
      <c r="N52" s="198"/>
    </row>
    <row r="53" spans="1:14" ht="20.25" customHeight="1" x14ac:dyDescent="0.25">
      <c r="A53" s="247" t="s">
        <v>20</v>
      </c>
      <c r="B53" s="248">
        <v>1</v>
      </c>
      <c r="C53" s="249">
        <v>2</v>
      </c>
      <c r="D53" s="249">
        <v>3</v>
      </c>
      <c r="E53" s="249">
        <v>4</v>
      </c>
      <c r="F53" s="249">
        <v>5</v>
      </c>
      <c r="G53" s="249">
        <v>6</v>
      </c>
      <c r="H53" s="249">
        <v>7</v>
      </c>
      <c r="I53" s="249">
        <v>8</v>
      </c>
      <c r="J53" s="249">
        <v>9</v>
      </c>
      <c r="K53" s="250">
        <v>10</v>
      </c>
      <c r="L53" s="251">
        <f>L54+L55</f>
        <v>31890.321308826904</v>
      </c>
      <c r="M53" s="246">
        <f>L53/$M$51</f>
        <v>0.5451779734936576</v>
      </c>
      <c r="N53" s="252"/>
    </row>
    <row r="54" spans="1:14" ht="15" customHeight="1" x14ac:dyDescent="0.25">
      <c r="A54" s="253" t="s">
        <v>218</v>
      </c>
      <c r="B54" s="254">
        <f>SUM([13]M01!B38,[13]M02!B38,[13]M03!B38,[13]M04!B38,[13]M05!B38,[13]M06!B38,[13]M07!B38,[13]M08!B38,[13]M09!B38,[13]M10!B38,[13]M11!B38,[13]M12!B38)</f>
        <v>1875.184421407728</v>
      </c>
      <c r="C54" s="255">
        <f>SUM([13]M01!C38,[13]M02!C38,[13]M03!C38,[13]M04!C38,[13]M05!C38,[13]M06!C38,[13]M07!C38,[13]M08!C38,[13]M09!C38,[13]M10!C38,[13]M11!C38,[13]M12!C38)</f>
        <v>6919.1638380977001</v>
      </c>
      <c r="D54" s="255">
        <f>SUM([13]M01!D38,[13]M02!D38,[13]M03!D38,[13]M04!D38,[13]M05!D38,[13]M06!D38,[13]M07!D38,[13]M08!D38,[13]M09!D38,[13]M10!D38,[13]M11!D38,[13]M12!D38)</f>
        <v>1757.7471712689733</v>
      </c>
      <c r="E54" s="255">
        <f>SUM([13]M01!E38,[13]M02!E38,[13]M03!E38,[13]M04!E38,[13]M05!E38,[13]M06!E38,[13]M07!E38,[13]M08!E38,[13]M09!E38,[13]M10!E38,[13]M11!E38,[13]M12!E38)</f>
        <v>4281.855964779048</v>
      </c>
      <c r="F54" s="255">
        <f>SUM([13]M01!F38,[13]M02!F38,[13]M03!F38,[13]M04!F38,[13]M05!F38,[13]M06!F38,[13]M07!F38,[13]M08!F38,[13]M09!F38,[13]M10!F38,[13]M11!F38,[13]M12!F38)</f>
        <v>1871.3715168058109</v>
      </c>
      <c r="G54" s="255">
        <f>SUM([13]M01!G38,[13]M02!G38,[13]M03!G38,[13]M04!G38,[13]M05!G38,[13]M06!G38,[13]M07!G38,[13]M08!G38,[13]M09!G38,[13]M10!G38,[13]M11!G38,[13]M12!G38)</f>
        <v>128.11955335914874</v>
      </c>
      <c r="H54" s="255">
        <f>SUM([13]M01!H38,[13]M02!H38,[13]M03!H38,[13]M04!H38,[13]M05!H38,[13]M06!H38,[13]M07!H38,[13]M08!H38,[13]M09!H38,[13]M10!H38,[13]M11!H38,[13]M12!H38)</f>
        <v>13.694893243642802</v>
      </c>
      <c r="I54" s="255">
        <f>SUM([13]M01!I38,[13]M02!I38,[13]M03!I38,[13]M04!I38,[13]M05!I38,[13]M06!I38,[13]M07!I38,[13]M08!I38,[13]M09!I38,[13]M10!I38,[13]M11!I38,[13]M12!I38)</f>
        <v>652.19509754186583</v>
      </c>
      <c r="J54" s="255">
        <f>SUM([13]M01!J38,[13]M02!J38,[13]M03!J38,[13]M04!J38,[13]M05!J38,[13]M06!J38,[13]M07!J38,[13]M08!J38,[13]M09!J38,[13]M10!J38,[13]M11!J38,[13]M12!J38)</f>
        <v>896.77040119293611</v>
      </c>
      <c r="K54" s="256">
        <f>SUM([13]M01!K38,[13]M02!K38,[13]M03!K38,[13]M04!K38,[13]M05!K38,[13]M06!K38,[13]M07!K38,[13]M08!K38,[13]M09!K38,[13]M10!K38,[13]M11!K38,[13]M12!K38)</f>
        <v>3919.0589685449386</v>
      </c>
      <c r="L54" s="257">
        <f>SUM(B54:K54)</f>
        <v>22315.161826241791</v>
      </c>
      <c r="M54" s="258">
        <f>L54/(L55+L54)</f>
        <v>0.69974716184703944</v>
      </c>
      <c r="N54" s="259"/>
    </row>
    <row r="55" spans="1:14" ht="15" customHeight="1" x14ac:dyDescent="0.25">
      <c r="A55" s="260" t="s">
        <v>277</v>
      </c>
      <c r="B55" s="261">
        <f>SUM([13]M01!B39,[13]M02!B39,[13]M03!B39,[13]M04!B39,[13]M05!B39,[13]M06!B39,[13]M07!B39,[13]M08!B39,[13]M09!B39,[13]M10!B39,[13]M11!B39,[13]M12!B39)</f>
        <v>0</v>
      </c>
      <c r="C55" s="262">
        <f>SUM([13]M01!C39,[13]M02!C39,[13]M03!C39,[13]M04!C39,[13]M05!C39,[13]M06!C39,[13]M07!C39,[13]M08!C39,[13]M09!C39,[13]M10!C39,[13]M11!C39,[13]M12!C39)</f>
        <v>0</v>
      </c>
      <c r="D55" s="262">
        <f>SUM([13]M01!D39,[13]M02!D39,[13]M03!D39,[13]M04!D39,[13]M05!D39,[13]M06!D39,[13]M07!D39,[13]M08!D39,[13]M09!D39,[13]M10!D39,[13]M11!D39,[13]M12!D39)</f>
        <v>0</v>
      </c>
      <c r="E55" s="262">
        <f>SUM([13]M01!E39,[13]M02!E39,[13]M03!E39,[13]M04!E39,[13]M05!E39,[13]M06!E39,[13]M07!E39,[13]M08!E39,[13]M09!E39,[13]M10!E39,[13]M11!E39,[13]M12!E39)</f>
        <v>221.78272914147797</v>
      </c>
      <c r="F55" s="262">
        <f>SUM([13]M01!F39,[13]M02!F39,[13]M03!F39,[13]M04!F39,[13]M05!F39,[13]M06!F39,[13]M07!F39,[13]M08!F39,[13]M09!F39,[13]M10!F39,[13]M11!F39,[13]M12!F39)</f>
        <v>1116.3139558444818</v>
      </c>
      <c r="G55" s="262">
        <f>SUM([13]M01!G39,[13]M02!G39,[13]M03!G39,[13]M04!G39,[13]M05!G39,[13]M06!G39,[13]M07!G39,[13]M08!G39,[13]M09!G39,[13]M10!G39,[13]M11!G39,[13]M12!G39)</f>
        <v>1193.4350229163203</v>
      </c>
      <c r="H55" s="262">
        <f>SUM([13]M01!H39,[13]M02!H39,[13]M03!H39,[13]M04!H39,[13]M05!H39,[13]M06!H39,[13]M07!H39,[13]M08!H39,[13]M09!H39,[13]M10!H39,[13]M11!H39,[13]M12!H39)</f>
        <v>5816.00514018182</v>
      </c>
      <c r="I55" s="262">
        <f>SUM([13]M01!I39,[13]M02!I39,[13]M03!I39,[13]M04!I39,[13]M05!I39,[13]M06!I39,[13]M07!I39,[13]M08!I39,[13]M09!I39,[13]M10!I39,[13]M11!I39,[13]M12!I39)</f>
        <v>0</v>
      </c>
      <c r="J55" s="262">
        <f>SUM([13]M01!J39,[13]M02!J39,[13]M03!J39,[13]M04!J39,[13]M05!J39,[13]M06!J39,[13]M07!J39,[13]M08!J39,[13]M09!J39,[13]M10!J39,[13]M11!J39,[13]M12!J39)</f>
        <v>1194.5879240049917</v>
      </c>
      <c r="K55" s="263">
        <f>SUM([13]M01!K39,[13]M02!K39,[13]M03!K39,[13]M04!K39,[13]M05!K39,[13]M06!K39,[13]M07!K39,[13]M08!K39,[13]M09!K39,[13]M10!K39,[13]M11!K39,[13]M12!K39)</f>
        <v>33.034710496018008</v>
      </c>
      <c r="L55" s="264">
        <f>SUM(B55:K55)</f>
        <v>9575.1594825851116</v>
      </c>
      <c r="M55" s="265">
        <f>L55/(L54+L55)</f>
        <v>0.3002528381529605</v>
      </c>
      <c r="N55" s="140"/>
    </row>
    <row r="56" spans="1:14" ht="20.25" customHeight="1" x14ac:dyDescent="0.25">
      <c r="A56" s="245" t="s">
        <v>288</v>
      </c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51">
        <f>L57+L58</f>
        <v>26604.928090867794</v>
      </c>
      <c r="M56" s="246">
        <f>L56/$M$51</f>
        <v>0.45482203333928523</v>
      </c>
      <c r="N56" s="252"/>
    </row>
    <row r="57" spans="1:14" ht="15" customHeight="1" x14ac:dyDescent="0.25">
      <c r="A57" s="253" t="s">
        <v>218</v>
      </c>
      <c r="B57" s="254">
        <f>SUM([13]M01!B41,[13]M02!B41,[13]M03!B41,[13]M04!B41,[13]M05!B41,[13]M06!B41,[13]M07!B41,[13]M08!B41,[13]M09!B41,[13]M10!B41,[13]M11!B41,[13]M12!B41)</f>
        <v>1441.611715403998</v>
      </c>
      <c r="C57" s="255">
        <f>SUM([13]M01!C41,[13]M02!C41,[13]M03!C41,[13]M04!C41,[13]M05!C41,[13]M06!C41,[13]M07!C41,[13]M08!C41,[13]M09!C41,[13]M10!C41,[13]M11!C41,[13]M12!C41)</f>
        <v>2660.0727873379601</v>
      </c>
      <c r="D57" s="255">
        <f>SUM([13]M01!D41,[13]M02!D41,[13]M03!D41,[13]M04!D41,[13]M05!D41,[13]M06!D41,[13]M07!D41,[13]M08!D41,[13]M09!D41,[13]M10!D41,[13]M11!D41,[13]M12!D41)</f>
        <v>908.02540705037893</v>
      </c>
      <c r="E57" s="255">
        <f>SUM([13]M01!E41,[13]M02!E41,[13]M03!E41,[13]M04!E41,[13]M05!E41,[13]M06!E41,[13]M07!E41,[13]M08!E41,[13]M09!E41,[13]M10!E41,[13]M11!E41,[13]M12!E41)</f>
        <v>2136.8540050544875</v>
      </c>
      <c r="F57" s="255">
        <f>SUM([13]M01!F41,[13]M02!F41,[13]M03!F41,[13]M04!F41,[13]M05!F41,[13]M06!F41,[13]M07!F41,[13]M08!F41,[13]M09!F41,[13]M10!F41,[13]M11!F41,[13]M12!F41)</f>
        <v>2459.6757058888188</v>
      </c>
      <c r="G57" s="255">
        <f>SUM([13]M01!G41,[13]M02!G41,[13]M03!G41,[13]M04!G41,[13]M05!G41,[13]M06!G41,[13]M07!G41,[13]M08!G41,[13]M09!G41,[13]M10!G41,[13]M11!G41,[13]M12!G41)</f>
        <v>864.6994417893618</v>
      </c>
      <c r="H57" s="255">
        <f>SUM([13]M01!H41,[13]M02!H41,[13]M03!H41,[13]M04!H41,[13]M05!H41,[13]M06!H41,[13]M07!H41,[13]M08!H41,[13]M09!H41,[13]M10!H41,[13]M11!H41,[13]M12!H41)</f>
        <v>775.07869390719577</v>
      </c>
      <c r="I57" s="255">
        <f>SUM([13]M01!I41,[13]M02!I41,[13]M03!I41,[13]M04!I41,[13]M05!I41,[13]M06!I41,[13]M07!I41,[13]M08!I41,[13]M09!I41,[13]M10!I41,[13]M11!I41,[13]M12!I41)</f>
        <v>1529.4003732328847</v>
      </c>
      <c r="J57" s="255">
        <f>SUM([13]M01!J41,[13]M02!J41,[13]M03!J41,[13]M04!J41,[13]M05!J41,[13]M06!J41,[13]M07!J41,[13]M08!J41,[13]M09!J41,[13]M10!J41,[13]M11!J41,[13]M12!J41)</f>
        <v>4372.752731117348</v>
      </c>
      <c r="K57" s="256">
        <f>SUM([13]M01!K41,[13]M02!K41,[13]M03!K41,[13]M04!K41,[13]M05!K41,[13]M06!K41,[13]M07!K41,[13]M08!K41,[13]M09!K41,[13]M10!K41,[13]M11!K41,[13]M12!K41)</f>
        <v>1483.3418927620637</v>
      </c>
      <c r="L57" s="257">
        <f>SUM(B57:K57)</f>
        <v>18631.512753544495</v>
      </c>
      <c r="M57" s="258">
        <f>L57/(L58+L57)</f>
        <v>0.70030306753355998</v>
      </c>
      <c r="N57" s="259"/>
    </row>
    <row r="58" spans="1:14" ht="15" customHeight="1" x14ac:dyDescent="0.25">
      <c r="A58" s="260" t="s">
        <v>277</v>
      </c>
      <c r="B58" s="261">
        <f>SUM([13]M01!B42,[13]M02!B42,[13]M03!B42,[13]M04!B42,[13]M05!B42,[13]M06!B42,[13]M07!B42,[13]M08!B42,[13]M09!B42,[13]M10!B42,[13]M11!B42,[13]M12!B42)</f>
        <v>78.415796351367845</v>
      </c>
      <c r="C58" s="262">
        <f>SUM([13]M01!C42,[13]M02!C42,[13]M03!C42,[13]M04!C42,[13]M05!C42,[13]M06!C42,[13]M07!C42,[13]M08!C42,[13]M09!C42,[13]M10!C42,[13]M11!C42,[13]M12!C42)</f>
        <v>0</v>
      </c>
      <c r="D58" s="262">
        <f>SUM([13]M01!D42,[13]M02!D42,[13]M03!D42,[13]M04!D42,[13]M05!D42,[13]M06!D42,[13]M07!D42,[13]M08!D42,[13]M09!D42,[13]M10!D42,[13]M11!D42,[13]M12!D42)</f>
        <v>0.39622631041312478</v>
      </c>
      <c r="E58" s="262">
        <f>SUM([13]M01!E42,[13]M02!E42,[13]M03!E42,[13]M04!E42,[13]M05!E42,[13]M06!E42,[13]M07!E42,[13]M08!E42,[13]M09!E42,[13]M10!E42,[13]M11!E42,[13]M12!E42)</f>
        <v>483.09137715719419</v>
      </c>
      <c r="F58" s="262">
        <f>SUM([13]M01!F42,[13]M02!F42,[13]M03!F42,[13]M04!F42,[13]M05!F42,[13]M06!F42,[13]M07!F42,[13]M08!F42,[13]M09!F42,[13]M10!F42,[13]M11!F42,[13]M12!F42)</f>
        <v>1634.8723101952301</v>
      </c>
      <c r="G58" s="262">
        <f>SUM([13]M01!G42,[13]M02!G42,[13]M03!G42,[13]M04!G42,[13]M05!G42,[13]M06!G42,[13]M07!G42,[13]M08!G42,[13]M09!G42,[13]M10!G42,[13]M11!G42,[13]M12!G42)</f>
        <v>715.34103200675702</v>
      </c>
      <c r="H58" s="262">
        <f>SUM([13]M01!H42,[13]M02!H42,[13]M03!H42,[13]M04!H42,[13]M05!H42,[13]M06!H42,[13]M07!H42,[13]M08!H42,[13]M09!H42,[13]M10!H42,[13]M11!H42,[13]M12!H42)</f>
        <v>4314.6848492917652</v>
      </c>
      <c r="I58" s="262">
        <f>SUM([13]M01!I42,[13]M02!I42,[13]M03!I42,[13]M04!I42,[13]M05!I42,[13]M06!I42,[13]M07!I42,[13]M08!I42,[13]M09!I42,[13]M10!I42,[13]M11!I42,[13]M12!I42)</f>
        <v>5.1363317282222223</v>
      </c>
      <c r="J58" s="262">
        <f>SUM([13]M01!J42,[13]M02!J42,[13]M03!J42,[13]M04!J42,[13]M05!J42,[13]M06!J42,[13]M07!J42,[13]M08!J42,[13]M09!J42,[13]M10!J42,[13]M11!J42,[13]M12!J42)</f>
        <v>524.05673630919114</v>
      </c>
      <c r="K58" s="263">
        <f>SUM([13]M01!K42,[13]M02!K42,[13]M03!K42,[13]M04!K42,[13]M05!K42,[13]M06!K42,[13]M07!K42,[13]M08!K42,[13]M09!K42,[13]M10!K42,[13]M11!K42,[13]M12!K42)</f>
        <v>217.42067797315752</v>
      </c>
      <c r="L58" s="264">
        <f>SUM(B58:K58)</f>
        <v>7973.4153373232984</v>
      </c>
      <c r="M58" s="265">
        <f>L58/(L57+L58)</f>
        <v>0.29969693246644002</v>
      </c>
      <c r="N58" s="198"/>
    </row>
    <row r="59" spans="1:14" ht="20.25" customHeight="1" x14ac:dyDescent="0.25">
      <c r="A59" s="245" t="s">
        <v>289</v>
      </c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51">
        <f>L60+L61</f>
        <v>40722.153909291999</v>
      </c>
      <c r="M59" s="246">
        <f>IFERROR(L59/B7,0)</f>
        <v>1</v>
      </c>
      <c r="N59" s="198"/>
    </row>
    <row r="60" spans="1:14" ht="15" customHeight="1" x14ac:dyDescent="0.25">
      <c r="A60" s="253" t="s">
        <v>290</v>
      </c>
      <c r="B60" s="254">
        <f>SUM([13]M01!B44,[13]M02!B44,[13]M03!B44,[13]M04!B44,[13]M05!B44,[13]M06!B44,[13]M07!B44,[13]M08!B44,[13]M09!B44,[13]M10!B44,[13]M11!B44,[13]M12!B44)</f>
        <v>0</v>
      </c>
      <c r="C60" s="255">
        <f>SUM([13]M01!C44,[13]M02!C44,[13]M03!C44,[13]M04!C44,[13]M05!C44,[13]M06!C44,[13]M07!C44,[13]M08!C44,[13]M09!C44,[13]M10!C44,[13]M11!C44,[13]M12!C44)</f>
        <v>0</v>
      </c>
      <c r="D60" s="255">
        <f>SUM([13]M01!D44,[13]M02!D44,[13]M03!D44,[13]M04!D44,[13]M05!D44,[13]M06!D44,[13]M07!D44,[13]M08!D44,[13]M09!D44,[13]M10!D44,[13]M11!D44,[13]M12!D44)</f>
        <v>0</v>
      </c>
      <c r="E60" s="255">
        <f>SUM([13]M01!E44,[13]M02!E44,[13]M03!E44,[13]M04!E44,[13]M05!E44,[13]M06!E44,[13]M07!E44,[13]M08!E44,[13]M09!E44,[13]M10!E44,[13]M11!E44,[13]M12!E44)</f>
        <v>0</v>
      </c>
      <c r="F60" s="255">
        <f>SUM([13]M01!F44,[13]M02!F44,[13]M03!F44,[13]M04!F44,[13]M05!F44,[13]M06!F44,[13]M07!F44,[13]M08!F44,[13]M09!F44,[13]M10!F44,[13]M11!F44,[13]M12!F44)</f>
        <v>1133.8701291265436</v>
      </c>
      <c r="G60" s="255">
        <f>SUM([13]M01!G44,[13]M02!G44,[13]M03!G44,[13]M04!G44,[13]M05!G44,[13]M06!G44,[13]M07!G44,[13]M08!G44,[13]M09!G44,[13]M10!G44,[13]M11!G44,[13]M12!G44)</f>
        <v>2153.1728011857335</v>
      </c>
      <c r="H60" s="255">
        <f>SUM([13]M01!H44,[13]M02!H44,[13]M03!H44,[13]M04!H44,[13]M05!H44,[13]M06!H44,[13]M07!H44,[13]M08!H44,[13]M09!H44,[13]M10!H44,[13]M11!H44,[13]M12!H44)</f>
        <v>8907.3820778141344</v>
      </c>
      <c r="I60" s="255">
        <f>SUM([13]M01!I44,[13]M02!I44,[13]M03!I44,[13]M04!I44,[13]M05!I44,[13]M06!I44,[13]M07!I44,[13]M08!I44,[13]M09!I44,[13]M10!I44,[13]M11!I44,[13]M12!I44)</f>
        <v>0</v>
      </c>
      <c r="J60" s="255">
        <f>SUM([13]M01!J44,[13]M02!J44,[13]M03!J44,[13]M04!J44,[13]M05!J44,[13]M06!J44,[13]M07!J44,[13]M08!J44,[13]M09!J44,[13]M10!J44,[13]M11!J44,[13]M12!J44)</f>
        <v>1360.7060948306823</v>
      </c>
      <c r="K60" s="256">
        <f>SUM([13]M01!K44,[13]M02!K44,[13]M03!K44,[13]M04!K44,[13]M05!K44,[13]M06!K44,[13]M07!K44,[13]M08!K44,[13]M09!K44,[13]M10!K44,[13]M11!K44,[13]M12!K44)</f>
        <v>0</v>
      </c>
      <c r="L60" s="257">
        <f>SUM(B60:K60)</f>
        <v>13555.131102957093</v>
      </c>
      <c r="M60" s="258">
        <f>L60/(L61+L60)</f>
        <v>0.33286871645225224</v>
      </c>
      <c r="N60" s="198"/>
    </row>
    <row r="61" spans="1:14" ht="15" customHeight="1" x14ac:dyDescent="0.25">
      <c r="A61" s="260" t="s">
        <v>291</v>
      </c>
      <c r="B61" s="261">
        <f>SUM([13]M01!B45,[13]M02!B45,[13]M03!B45,[13]M04!B45,[13]M05!B45,[13]M06!B45,[13]M07!B45,[13]M08!B45,[13]M09!B45,[13]M10!B45,[13]M11!B45,[13]M12!B45)</f>
        <v>267.99903481795411</v>
      </c>
      <c r="C61" s="262">
        <f>SUM([13]M01!C45,[13]M02!C45,[13]M03!C45,[13]M04!C45,[13]M05!C45,[13]M06!C45,[13]M07!C45,[13]M08!C45,[13]M09!C45,[13]M10!C45,[13]M11!C45,[13]M12!C45)</f>
        <v>0</v>
      </c>
      <c r="D61" s="262">
        <f>SUM([13]M01!D45,[13]M02!D45,[13]M03!D45,[13]M04!D45,[13]M05!D45,[13]M06!D45,[13]M07!D45,[13]M08!D45,[13]M09!D45,[13]M10!D45,[13]M11!D45,[13]M12!D45)</f>
        <v>1.3377969391699178</v>
      </c>
      <c r="E61" s="262">
        <f>SUM([13]M01!E45,[13]M02!E45,[13]M03!E45,[13]M04!E45,[13]M05!E45,[13]M06!E45,[13]M07!E45,[13]M08!E45,[13]M09!E45,[13]M10!E45,[13]M11!E45,[13]M12!E45)</f>
        <v>1645.5031017916544</v>
      </c>
      <c r="F61" s="262">
        <f>SUM([13]M01!F45,[13]M02!F45,[13]M03!F45,[13]M04!F45,[13]M05!F45,[13]M06!F45,[13]M07!F45,[13]M08!F45,[13]M09!F45,[13]M10!F45,[13]M11!F45,[13]M12!F45)</f>
        <v>5550.3205092305743</v>
      </c>
      <c r="G61" s="262">
        <f>SUM([13]M01!G45,[13]M02!G45,[13]M03!G45,[13]M04!G45,[13]M05!G45,[13]M06!G45,[13]M07!G45,[13]M08!G45,[13]M09!G45,[13]M10!G45,[13]M11!G45,[13]M12!G45)</f>
        <v>2436.7476575370993</v>
      </c>
      <c r="H61" s="262">
        <f>SUM([13]M01!H45,[13]M02!H45,[13]M03!H45,[13]M04!H45,[13]M05!H45,[13]M06!H45,[13]M07!H45,[13]M08!H45,[13]M09!H45,[13]M10!H45,[13]M11!H45,[13]M12!H45)</f>
        <v>14710.54269437328</v>
      </c>
      <c r="I61" s="262">
        <f>SUM([13]M01!I45,[13]M02!I45,[13]M03!I45,[13]M04!I45,[13]M05!I45,[13]M06!I45,[13]M07!I45,[13]M08!I45,[13]M09!I45,[13]M10!I45,[13]M11!I45,[13]M12!I45)</f>
        <v>17.543970072795716</v>
      </c>
      <c r="J61" s="262">
        <f>SUM([13]M01!J45,[13]M02!J45,[13]M03!J45,[13]M04!J45,[13]M05!J45,[13]M06!J45,[13]M07!J45,[13]M08!J45,[13]M09!J45,[13]M10!J45,[13]M11!J45,[13]M12!J45)</f>
        <v>1792.3749380416655</v>
      </c>
      <c r="K61" s="263">
        <f>SUM([13]M01!K45,[13]M02!K45,[13]M03!K45,[13]M04!K45,[13]M05!K45,[13]M06!K45,[13]M07!K45,[13]M08!K45,[13]M09!K45,[13]M10!K45,[13]M11!K45,[13]M12!K45)</f>
        <v>744.65310353071277</v>
      </c>
      <c r="L61" s="264">
        <f>SUM(B61:K61)</f>
        <v>27167.022806334906</v>
      </c>
      <c r="M61" s="265">
        <f>L61/(L60+L61)</f>
        <v>0.66713128354774776</v>
      </c>
      <c r="N61" s="198"/>
    </row>
    <row r="62" spans="1:14" ht="20.25" hidden="1" customHeight="1" x14ac:dyDescent="0.25">
      <c r="A62" s="245" t="s">
        <v>292</v>
      </c>
      <c r="B62" s="266"/>
      <c r="C62" s="266"/>
      <c r="D62" s="266"/>
      <c r="E62" s="266"/>
      <c r="F62" s="266"/>
      <c r="G62" s="267">
        <f>SUM([13]M01!G46,[13]M02!G46,[13]M03!G46,[13]M04!G46,[13]M05!G46,[13]M06!G46,[13]M07!G46,[13]M08!G46,[13]M09!G46,[13]M10!G46,[13]M11!G46,[13]M12!G46)</f>
        <v>0</v>
      </c>
      <c r="H62" s="268">
        <f>G62/L51</f>
        <v>0</v>
      </c>
      <c r="I62" s="266"/>
      <c r="J62" s="266"/>
      <c r="K62" s="266"/>
      <c r="L62" s="244"/>
      <c r="N62" s="198"/>
    </row>
    <row r="63" spans="1:14" ht="15" customHeight="1" x14ac:dyDescent="0.25">
      <c r="A63" s="266"/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44"/>
      <c r="N63" s="198"/>
    </row>
    <row r="64" spans="1:14" ht="20.25" customHeight="1" x14ac:dyDescent="0.25">
      <c r="A64" s="269" t="s">
        <v>293</v>
      </c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51">
        <f>L65+L66</f>
        <v>99217.403308986701</v>
      </c>
      <c r="M64" s="271">
        <f>L64/(B3+B7)</f>
        <v>1</v>
      </c>
      <c r="N64" s="272"/>
    </row>
    <row r="65" spans="1:14" ht="15" customHeight="1" x14ac:dyDescent="0.25">
      <c r="A65" s="273" t="s">
        <v>218</v>
      </c>
      <c r="B65" s="274">
        <f>B54+B57</f>
        <v>3316.7961368117258</v>
      </c>
      <c r="C65" s="275">
        <f t="shared" ref="C65:K65" si="2">C54+C57</f>
        <v>9579.2366254356602</v>
      </c>
      <c r="D65" s="275">
        <f t="shared" si="2"/>
        <v>2665.7725783193523</v>
      </c>
      <c r="E65" s="275">
        <f t="shared" si="2"/>
        <v>6418.7099698335351</v>
      </c>
      <c r="F65" s="275">
        <f t="shared" si="2"/>
        <v>4331.0472226946295</v>
      </c>
      <c r="G65" s="275">
        <f t="shared" si="2"/>
        <v>992.81899514851057</v>
      </c>
      <c r="H65" s="275">
        <f t="shared" si="2"/>
        <v>788.77358715083858</v>
      </c>
      <c r="I65" s="275">
        <f t="shared" si="2"/>
        <v>2181.5954707747505</v>
      </c>
      <c r="J65" s="275">
        <f t="shared" si="2"/>
        <v>5269.5231323102844</v>
      </c>
      <c r="K65" s="276">
        <f t="shared" si="2"/>
        <v>5402.4008613070018</v>
      </c>
      <c r="L65" s="257">
        <f>SUM(B65:K65)</f>
        <v>40946.67457978629</v>
      </c>
      <c r="M65" s="258">
        <f>L65/(L66+L65)</f>
        <v>0.412696494910964</v>
      </c>
      <c r="N65" s="272"/>
    </row>
    <row r="66" spans="1:14" ht="15" customHeight="1" x14ac:dyDescent="0.25">
      <c r="A66" s="277" t="s">
        <v>277</v>
      </c>
      <c r="B66" s="278">
        <f>B55+B58+B60+B61</f>
        <v>346.41483116932193</v>
      </c>
      <c r="C66" s="279">
        <f t="shared" ref="C66:K66" si="3">C55+C58+C60+C61</f>
        <v>0</v>
      </c>
      <c r="D66" s="279">
        <f t="shared" si="3"/>
        <v>1.7340232495830425</v>
      </c>
      <c r="E66" s="279">
        <f t="shared" si="3"/>
        <v>2350.3772080903263</v>
      </c>
      <c r="F66" s="279">
        <f t="shared" si="3"/>
        <v>9435.3769043968296</v>
      </c>
      <c r="G66" s="279">
        <f t="shared" si="3"/>
        <v>6498.6965136459103</v>
      </c>
      <c r="H66" s="279">
        <f t="shared" si="3"/>
        <v>33748.614761661003</v>
      </c>
      <c r="I66" s="279">
        <f t="shared" si="3"/>
        <v>22.68030180101794</v>
      </c>
      <c r="J66" s="279">
        <f t="shared" si="3"/>
        <v>4871.7256931865304</v>
      </c>
      <c r="K66" s="280">
        <f t="shared" si="3"/>
        <v>995.10849199988832</v>
      </c>
      <c r="L66" s="264">
        <f>SUM(B66:K66)</f>
        <v>58270.728729200411</v>
      </c>
      <c r="M66" s="265">
        <f>L66/(L65+L66)</f>
        <v>0.58730350508903606</v>
      </c>
      <c r="N66" s="272"/>
    </row>
    <row r="67" spans="1:14" ht="15" customHeight="1" x14ac:dyDescent="0.25">
      <c r="B67" s="268">
        <f>B65/$L$64</f>
        <v>3.3429580156239626E-2</v>
      </c>
      <c r="C67" s="268">
        <f t="shared" ref="C67:K67" si="4">C65/$L$64</f>
        <v>9.6547947295129555E-2</v>
      </c>
      <c r="D67" s="268">
        <f t="shared" si="4"/>
        <v>2.6867993813721364E-2</v>
      </c>
      <c r="E67" s="268">
        <f t="shared" si="4"/>
        <v>6.4693388012223407E-2</v>
      </c>
      <c r="F67" s="268">
        <f t="shared" si="4"/>
        <v>4.3652092054926227E-2</v>
      </c>
      <c r="G67" s="268">
        <f t="shared" si="4"/>
        <v>1.0006500493231364E-2</v>
      </c>
      <c r="H67" s="268">
        <f t="shared" si="4"/>
        <v>7.9499519322674579E-3</v>
      </c>
      <c r="I67" s="268">
        <f t="shared" si="4"/>
        <v>2.1988032321111458E-2</v>
      </c>
      <c r="J67" s="268">
        <f t="shared" si="4"/>
        <v>5.3110875275577715E-2</v>
      </c>
      <c r="K67" s="268">
        <f t="shared" si="4"/>
        <v>5.4450133556535787E-2</v>
      </c>
      <c r="N67" s="198"/>
    </row>
    <row r="68" spans="1:14" ht="15" customHeight="1" x14ac:dyDescent="0.25">
      <c r="B68" s="268">
        <f t="shared" ref="B68:K68" si="5">B66/$L$64</f>
        <v>3.4914724596299238E-3</v>
      </c>
      <c r="C68" s="268">
        <f t="shared" si="5"/>
        <v>0</v>
      </c>
      <c r="D68" s="268">
        <f t="shared" si="5"/>
        <v>1.747700697409788E-5</v>
      </c>
      <c r="E68" s="268">
        <f t="shared" si="5"/>
        <v>2.3689162684198559E-2</v>
      </c>
      <c r="F68" s="268">
        <f t="shared" si="5"/>
        <v>9.5098002867630108E-2</v>
      </c>
      <c r="G68" s="268">
        <f t="shared" si="5"/>
        <v>6.5499562545568907E-2</v>
      </c>
      <c r="H68" s="268">
        <f t="shared" si="5"/>
        <v>0.34014813567091401</v>
      </c>
      <c r="I68" s="268">
        <f t="shared" si="5"/>
        <v>2.2859197121281294E-4</v>
      </c>
      <c r="J68" s="268">
        <f t="shared" si="5"/>
        <v>4.910152383261647E-2</v>
      </c>
      <c r="K68" s="268">
        <f t="shared" si="5"/>
        <v>1.0029576050291124E-2</v>
      </c>
      <c r="N68" s="198"/>
    </row>
    <row r="69" spans="1:14" ht="15" customHeight="1" x14ac:dyDescent="0.25"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2"/>
      <c r="M69" s="283"/>
    </row>
    <row r="70" spans="1:14" ht="15" customHeight="1" x14ac:dyDescent="0.25">
      <c r="B70" s="281"/>
      <c r="C70" s="281"/>
      <c r="D70" s="281"/>
      <c r="E70" s="281"/>
      <c r="F70" s="281"/>
      <c r="G70" s="281"/>
      <c r="H70" s="281"/>
      <c r="I70" s="281"/>
      <c r="J70" s="281"/>
      <c r="K70" s="281"/>
    </row>
    <row r="71" spans="1:14" ht="15" customHeight="1" x14ac:dyDescent="0.25"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2"/>
    </row>
    <row r="72" spans="1:14" ht="15" customHeight="1" x14ac:dyDescent="0.25">
      <c r="B72" s="281"/>
      <c r="C72" s="281"/>
      <c r="D72" s="281"/>
      <c r="E72" s="281"/>
      <c r="F72" s="281"/>
      <c r="G72" s="281"/>
      <c r="H72" s="281"/>
      <c r="I72" s="281"/>
      <c r="J72" s="281"/>
      <c r="K72" s="281"/>
      <c r="L72" s="282"/>
    </row>
  </sheetData>
  <conditionalFormatting sqref="B29:K30">
    <cfRule type="cellIs" dxfId="38" priority="16" operator="equal">
      <formula>0</formula>
    </cfRule>
  </conditionalFormatting>
  <conditionalFormatting sqref="B44:K45">
    <cfRule type="cellIs" dxfId="37" priority="1" operator="equal">
      <formula>0</formula>
    </cfRule>
  </conditionalFormatting>
  <conditionalFormatting sqref="B19:L20 B38:K38">
    <cfRule type="cellIs" dxfId="36" priority="18" operator="equal">
      <formula>0</formula>
    </cfRule>
  </conditionalFormatting>
  <conditionalFormatting sqref="B22:L23">
    <cfRule type="cellIs" dxfId="35" priority="11" operator="equal">
      <formula>0</formula>
    </cfRule>
  </conditionalFormatting>
  <conditionalFormatting sqref="B25:L27">
    <cfRule type="cellIs" dxfId="34" priority="14" operator="equal">
      <formula>0</formula>
    </cfRule>
  </conditionalFormatting>
  <conditionalFormatting sqref="B54:L55">
    <cfRule type="cellIs" dxfId="33" priority="7" operator="equal">
      <formula>0</formula>
    </cfRule>
  </conditionalFormatting>
  <conditionalFormatting sqref="B57:L58">
    <cfRule type="cellIs" dxfId="32" priority="6" operator="equal">
      <formula>0</formula>
    </cfRule>
  </conditionalFormatting>
  <conditionalFormatting sqref="B60:L61">
    <cfRule type="cellIs" dxfId="31" priority="5" operator="equal">
      <formula>0</formula>
    </cfRule>
  </conditionalFormatting>
  <conditionalFormatting sqref="B65:L66">
    <cfRule type="cellIs" dxfId="30" priority="3" operator="equal">
      <formula>0</formula>
    </cfRule>
  </conditionalFormatting>
  <conditionalFormatting sqref="L51">
    <cfRule type="cellIs" dxfId="29" priority="2" stopIfTrue="1" operator="notEqual">
      <formula>$M$51</formula>
    </cfRule>
  </conditionalFormatting>
  <conditionalFormatting sqref="M51">
    <cfRule type="cellIs" dxfId="28" priority="8" stopIfTrue="1" operator="notEqual">
      <formula>$L$51</formula>
    </cfRule>
  </conditionalFormatting>
  <conditionalFormatting sqref="N12:N13">
    <cfRule type="cellIs" dxfId="27" priority="10" stopIfTrue="1" operator="notEqual">
      <formula>8760</formula>
    </cfRule>
  </conditionalFormatting>
  <conditionalFormatting sqref="N14">
    <cfRule type="cellIs" dxfId="26" priority="9" stopIfTrue="1" operator="notEqual">
      <formula>1</formula>
    </cfRule>
  </conditionalFormatting>
  <printOptions horizontalCentered="1"/>
  <pageMargins left="0.39370078740157483" right="0.39370078740157483" top="0.98425196850393704" bottom="0.39370078740157483" header="0.59055118110236227" footer="0.31496062992125984"/>
  <pageSetup paperSize="9" scale="76" orientation="portrait" r:id="rId1"/>
  <headerFooter>
    <oddHeader>&amp;C&amp;Z&amp;F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72"/>
  <sheetViews>
    <sheetView zoomScale="77" zoomScaleNormal="77" workbookViewId="0">
      <selection activeCell="Q16" sqref="Q16"/>
    </sheetView>
  </sheetViews>
  <sheetFormatPr baseColWidth="10" defaultColWidth="10.7109375" defaultRowHeight="15" customHeight="1" x14ac:dyDescent="0.25"/>
  <cols>
    <col min="1" max="1" width="12.7109375" style="129" customWidth="1"/>
    <col min="2" max="2" width="12.140625" style="129" bestFit="1" customWidth="1"/>
    <col min="3" max="256" width="10.7109375" style="129"/>
    <col min="257" max="257" width="12.7109375" style="129" customWidth="1"/>
    <col min="258" max="258" width="12.140625" style="129" bestFit="1" customWidth="1"/>
    <col min="259" max="512" width="10.7109375" style="129"/>
    <col min="513" max="513" width="12.7109375" style="129" customWidth="1"/>
    <col min="514" max="514" width="12.140625" style="129" bestFit="1" customWidth="1"/>
    <col min="515" max="768" width="10.7109375" style="129"/>
    <col min="769" max="769" width="12.7109375" style="129" customWidth="1"/>
    <col min="770" max="770" width="12.140625" style="129" bestFit="1" customWidth="1"/>
    <col min="771" max="1024" width="10.7109375" style="129"/>
    <col min="1025" max="1025" width="12.7109375" style="129" customWidth="1"/>
    <col min="1026" max="1026" width="12.140625" style="129" bestFit="1" customWidth="1"/>
    <col min="1027" max="1280" width="10.7109375" style="129"/>
    <col min="1281" max="1281" width="12.7109375" style="129" customWidth="1"/>
    <col min="1282" max="1282" width="12.140625" style="129" bestFit="1" customWidth="1"/>
    <col min="1283" max="1536" width="10.7109375" style="129"/>
    <col min="1537" max="1537" width="12.7109375" style="129" customWidth="1"/>
    <col min="1538" max="1538" width="12.140625" style="129" bestFit="1" customWidth="1"/>
    <col min="1539" max="1792" width="10.7109375" style="129"/>
    <col min="1793" max="1793" width="12.7109375" style="129" customWidth="1"/>
    <col min="1794" max="1794" width="12.140625" style="129" bestFit="1" customWidth="1"/>
    <col min="1795" max="2048" width="10.7109375" style="129"/>
    <col min="2049" max="2049" width="12.7109375" style="129" customWidth="1"/>
    <col min="2050" max="2050" width="12.140625" style="129" bestFit="1" customWidth="1"/>
    <col min="2051" max="2304" width="10.7109375" style="129"/>
    <col min="2305" max="2305" width="12.7109375" style="129" customWidth="1"/>
    <col min="2306" max="2306" width="12.140625" style="129" bestFit="1" customWidth="1"/>
    <col min="2307" max="2560" width="10.7109375" style="129"/>
    <col min="2561" max="2561" width="12.7109375" style="129" customWidth="1"/>
    <col min="2562" max="2562" width="12.140625" style="129" bestFit="1" customWidth="1"/>
    <col min="2563" max="2816" width="10.7109375" style="129"/>
    <col min="2817" max="2817" width="12.7109375" style="129" customWidth="1"/>
    <col min="2818" max="2818" width="12.140625" style="129" bestFit="1" customWidth="1"/>
    <col min="2819" max="3072" width="10.7109375" style="129"/>
    <col min="3073" max="3073" width="12.7109375" style="129" customWidth="1"/>
    <col min="3074" max="3074" width="12.140625" style="129" bestFit="1" customWidth="1"/>
    <col min="3075" max="3328" width="10.7109375" style="129"/>
    <col min="3329" max="3329" width="12.7109375" style="129" customWidth="1"/>
    <col min="3330" max="3330" width="12.140625" style="129" bestFit="1" customWidth="1"/>
    <col min="3331" max="3584" width="10.7109375" style="129"/>
    <col min="3585" max="3585" width="12.7109375" style="129" customWidth="1"/>
    <col min="3586" max="3586" width="12.140625" style="129" bestFit="1" customWidth="1"/>
    <col min="3587" max="3840" width="10.7109375" style="129"/>
    <col min="3841" max="3841" width="12.7109375" style="129" customWidth="1"/>
    <col min="3842" max="3842" width="12.140625" style="129" bestFit="1" customWidth="1"/>
    <col min="3843" max="4096" width="10.7109375" style="129"/>
    <col min="4097" max="4097" width="12.7109375" style="129" customWidth="1"/>
    <col min="4098" max="4098" width="12.140625" style="129" bestFit="1" customWidth="1"/>
    <col min="4099" max="4352" width="10.7109375" style="129"/>
    <col min="4353" max="4353" width="12.7109375" style="129" customWidth="1"/>
    <col min="4354" max="4354" width="12.140625" style="129" bestFit="1" customWidth="1"/>
    <col min="4355" max="4608" width="10.7109375" style="129"/>
    <col min="4609" max="4609" width="12.7109375" style="129" customWidth="1"/>
    <col min="4610" max="4610" width="12.140625" style="129" bestFit="1" customWidth="1"/>
    <col min="4611" max="4864" width="10.7109375" style="129"/>
    <col min="4865" max="4865" width="12.7109375" style="129" customWidth="1"/>
    <col min="4866" max="4866" width="12.140625" style="129" bestFit="1" customWidth="1"/>
    <col min="4867" max="5120" width="10.7109375" style="129"/>
    <col min="5121" max="5121" width="12.7109375" style="129" customWidth="1"/>
    <col min="5122" max="5122" width="12.140625" style="129" bestFit="1" customWidth="1"/>
    <col min="5123" max="5376" width="10.7109375" style="129"/>
    <col min="5377" max="5377" width="12.7109375" style="129" customWidth="1"/>
    <col min="5378" max="5378" width="12.140625" style="129" bestFit="1" customWidth="1"/>
    <col min="5379" max="5632" width="10.7109375" style="129"/>
    <col min="5633" max="5633" width="12.7109375" style="129" customWidth="1"/>
    <col min="5634" max="5634" width="12.140625" style="129" bestFit="1" customWidth="1"/>
    <col min="5635" max="5888" width="10.7109375" style="129"/>
    <col min="5889" max="5889" width="12.7109375" style="129" customWidth="1"/>
    <col min="5890" max="5890" width="12.140625" style="129" bestFit="1" customWidth="1"/>
    <col min="5891" max="6144" width="10.7109375" style="129"/>
    <col min="6145" max="6145" width="12.7109375" style="129" customWidth="1"/>
    <col min="6146" max="6146" width="12.140625" style="129" bestFit="1" customWidth="1"/>
    <col min="6147" max="6400" width="10.7109375" style="129"/>
    <col min="6401" max="6401" width="12.7109375" style="129" customWidth="1"/>
    <col min="6402" max="6402" width="12.140625" style="129" bestFit="1" customWidth="1"/>
    <col min="6403" max="6656" width="10.7109375" style="129"/>
    <col min="6657" max="6657" width="12.7109375" style="129" customWidth="1"/>
    <col min="6658" max="6658" width="12.140625" style="129" bestFit="1" customWidth="1"/>
    <col min="6659" max="6912" width="10.7109375" style="129"/>
    <col min="6913" max="6913" width="12.7109375" style="129" customWidth="1"/>
    <col min="6914" max="6914" width="12.140625" style="129" bestFit="1" customWidth="1"/>
    <col min="6915" max="7168" width="10.7109375" style="129"/>
    <col min="7169" max="7169" width="12.7109375" style="129" customWidth="1"/>
    <col min="7170" max="7170" width="12.140625" style="129" bestFit="1" customWidth="1"/>
    <col min="7171" max="7424" width="10.7109375" style="129"/>
    <col min="7425" max="7425" width="12.7109375" style="129" customWidth="1"/>
    <col min="7426" max="7426" width="12.140625" style="129" bestFit="1" customWidth="1"/>
    <col min="7427" max="7680" width="10.7109375" style="129"/>
    <col min="7681" max="7681" width="12.7109375" style="129" customWidth="1"/>
    <col min="7682" max="7682" width="12.140625" style="129" bestFit="1" customWidth="1"/>
    <col min="7683" max="7936" width="10.7109375" style="129"/>
    <col min="7937" max="7937" width="12.7109375" style="129" customWidth="1"/>
    <col min="7938" max="7938" width="12.140625" style="129" bestFit="1" customWidth="1"/>
    <col min="7939" max="8192" width="10.7109375" style="129"/>
    <col min="8193" max="8193" width="12.7109375" style="129" customWidth="1"/>
    <col min="8194" max="8194" width="12.140625" style="129" bestFit="1" customWidth="1"/>
    <col min="8195" max="8448" width="10.7109375" style="129"/>
    <col min="8449" max="8449" width="12.7109375" style="129" customWidth="1"/>
    <col min="8450" max="8450" width="12.140625" style="129" bestFit="1" customWidth="1"/>
    <col min="8451" max="8704" width="10.7109375" style="129"/>
    <col min="8705" max="8705" width="12.7109375" style="129" customWidth="1"/>
    <col min="8706" max="8706" width="12.140625" style="129" bestFit="1" customWidth="1"/>
    <col min="8707" max="8960" width="10.7109375" style="129"/>
    <col min="8961" max="8961" width="12.7109375" style="129" customWidth="1"/>
    <col min="8962" max="8962" width="12.140625" style="129" bestFit="1" customWidth="1"/>
    <col min="8963" max="9216" width="10.7109375" style="129"/>
    <col min="9217" max="9217" width="12.7109375" style="129" customWidth="1"/>
    <col min="9218" max="9218" width="12.140625" style="129" bestFit="1" customWidth="1"/>
    <col min="9219" max="9472" width="10.7109375" style="129"/>
    <col min="9473" max="9473" width="12.7109375" style="129" customWidth="1"/>
    <col min="9474" max="9474" width="12.140625" style="129" bestFit="1" customWidth="1"/>
    <col min="9475" max="9728" width="10.7109375" style="129"/>
    <col min="9729" max="9729" width="12.7109375" style="129" customWidth="1"/>
    <col min="9730" max="9730" width="12.140625" style="129" bestFit="1" customWidth="1"/>
    <col min="9731" max="9984" width="10.7109375" style="129"/>
    <col min="9985" max="9985" width="12.7109375" style="129" customWidth="1"/>
    <col min="9986" max="9986" width="12.140625" style="129" bestFit="1" customWidth="1"/>
    <col min="9987" max="10240" width="10.7109375" style="129"/>
    <col min="10241" max="10241" width="12.7109375" style="129" customWidth="1"/>
    <col min="10242" max="10242" width="12.140625" style="129" bestFit="1" customWidth="1"/>
    <col min="10243" max="10496" width="10.7109375" style="129"/>
    <col min="10497" max="10497" width="12.7109375" style="129" customWidth="1"/>
    <col min="10498" max="10498" width="12.140625" style="129" bestFit="1" customWidth="1"/>
    <col min="10499" max="10752" width="10.7109375" style="129"/>
    <col min="10753" max="10753" width="12.7109375" style="129" customWidth="1"/>
    <col min="10754" max="10754" width="12.140625" style="129" bestFit="1" customWidth="1"/>
    <col min="10755" max="11008" width="10.7109375" style="129"/>
    <col min="11009" max="11009" width="12.7109375" style="129" customWidth="1"/>
    <col min="11010" max="11010" width="12.140625" style="129" bestFit="1" customWidth="1"/>
    <col min="11011" max="11264" width="10.7109375" style="129"/>
    <col min="11265" max="11265" width="12.7109375" style="129" customWidth="1"/>
    <col min="11266" max="11266" width="12.140625" style="129" bestFit="1" customWidth="1"/>
    <col min="11267" max="11520" width="10.7109375" style="129"/>
    <col min="11521" max="11521" width="12.7109375" style="129" customWidth="1"/>
    <col min="11522" max="11522" width="12.140625" style="129" bestFit="1" customWidth="1"/>
    <col min="11523" max="11776" width="10.7109375" style="129"/>
    <col min="11777" max="11777" width="12.7109375" style="129" customWidth="1"/>
    <col min="11778" max="11778" width="12.140625" style="129" bestFit="1" customWidth="1"/>
    <col min="11779" max="12032" width="10.7109375" style="129"/>
    <col min="12033" max="12033" width="12.7109375" style="129" customWidth="1"/>
    <col min="12034" max="12034" width="12.140625" style="129" bestFit="1" customWidth="1"/>
    <col min="12035" max="12288" width="10.7109375" style="129"/>
    <col min="12289" max="12289" width="12.7109375" style="129" customWidth="1"/>
    <col min="12290" max="12290" width="12.140625" style="129" bestFit="1" customWidth="1"/>
    <col min="12291" max="12544" width="10.7109375" style="129"/>
    <col min="12545" max="12545" width="12.7109375" style="129" customWidth="1"/>
    <col min="12546" max="12546" width="12.140625" style="129" bestFit="1" customWidth="1"/>
    <col min="12547" max="12800" width="10.7109375" style="129"/>
    <col min="12801" max="12801" width="12.7109375" style="129" customWidth="1"/>
    <col min="12802" max="12802" width="12.140625" style="129" bestFit="1" customWidth="1"/>
    <col min="12803" max="13056" width="10.7109375" style="129"/>
    <col min="13057" max="13057" width="12.7109375" style="129" customWidth="1"/>
    <col min="13058" max="13058" width="12.140625" style="129" bestFit="1" customWidth="1"/>
    <col min="13059" max="13312" width="10.7109375" style="129"/>
    <col min="13313" max="13313" width="12.7109375" style="129" customWidth="1"/>
    <col min="13314" max="13314" width="12.140625" style="129" bestFit="1" customWidth="1"/>
    <col min="13315" max="13568" width="10.7109375" style="129"/>
    <col min="13569" max="13569" width="12.7109375" style="129" customWidth="1"/>
    <col min="13570" max="13570" width="12.140625" style="129" bestFit="1" customWidth="1"/>
    <col min="13571" max="13824" width="10.7109375" style="129"/>
    <col min="13825" max="13825" width="12.7109375" style="129" customWidth="1"/>
    <col min="13826" max="13826" width="12.140625" style="129" bestFit="1" customWidth="1"/>
    <col min="13827" max="14080" width="10.7109375" style="129"/>
    <col min="14081" max="14081" width="12.7109375" style="129" customWidth="1"/>
    <col min="14082" max="14082" width="12.140625" style="129" bestFit="1" customWidth="1"/>
    <col min="14083" max="14336" width="10.7109375" style="129"/>
    <col min="14337" max="14337" width="12.7109375" style="129" customWidth="1"/>
    <col min="14338" max="14338" width="12.140625" style="129" bestFit="1" customWidth="1"/>
    <col min="14339" max="14592" width="10.7109375" style="129"/>
    <col min="14593" max="14593" width="12.7109375" style="129" customWidth="1"/>
    <col min="14594" max="14594" width="12.140625" style="129" bestFit="1" customWidth="1"/>
    <col min="14595" max="14848" width="10.7109375" style="129"/>
    <col min="14849" max="14849" width="12.7109375" style="129" customWidth="1"/>
    <col min="14850" max="14850" width="12.140625" style="129" bestFit="1" customWidth="1"/>
    <col min="14851" max="15104" width="10.7109375" style="129"/>
    <col min="15105" max="15105" width="12.7109375" style="129" customWidth="1"/>
    <col min="15106" max="15106" width="12.140625" style="129" bestFit="1" customWidth="1"/>
    <col min="15107" max="15360" width="10.7109375" style="129"/>
    <col min="15361" max="15361" width="12.7109375" style="129" customWidth="1"/>
    <col min="15362" max="15362" width="12.140625" style="129" bestFit="1" customWidth="1"/>
    <col min="15363" max="15616" width="10.7109375" style="129"/>
    <col min="15617" max="15617" width="12.7109375" style="129" customWidth="1"/>
    <col min="15618" max="15618" width="12.140625" style="129" bestFit="1" customWidth="1"/>
    <col min="15619" max="15872" width="10.7109375" style="129"/>
    <col min="15873" max="15873" width="12.7109375" style="129" customWidth="1"/>
    <col min="15874" max="15874" width="12.140625" style="129" bestFit="1" customWidth="1"/>
    <col min="15875" max="16128" width="10.7109375" style="129"/>
    <col min="16129" max="16129" width="12.7109375" style="129" customWidth="1"/>
    <col min="16130" max="16130" width="12.140625" style="129" bestFit="1" customWidth="1"/>
    <col min="16131" max="16384" width="10.7109375" style="129"/>
  </cols>
  <sheetData>
    <row r="1" spans="1:14" ht="22.15" customHeight="1" x14ac:dyDescent="0.25">
      <c r="A1" s="127" t="s">
        <v>0</v>
      </c>
      <c r="B1" s="128">
        <f>[19]Input!B1</f>
        <v>3</v>
      </c>
      <c r="C1" s="128" t="str">
        <f>[19]Input!C1</f>
        <v>2022-2023</v>
      </c>
    </row>
    <row r="2" spans="1:14" ht="15" customHeight="1" x14ac:dyDescent="0.25">
      <c r="A2" s="130"/>
      <c r="B2" s="131" t="s">
        <v>3</v>
      </c>
      <c r="C2" s="132"/>
      <c r="D2" s="131" t="s">
        <v>4</v>
      </c>
      <c r="E2" s="133"/>
      <c r="F2" s="134" t="s">
        <v>225</v>
      </c>
    </row>
    <row r="3" spans="1:14" ht="15" customHeight="1" x14ac:dyDescent="0.25">
      <c r="A3" s="135" t="s">
        <v>6</v>
      </c>
      <c r="B3" s="136">
        <f>[19]Input!B3</f>
        <v>57227.8459584394</v>
      </c>
      <c r="C3" s="137">
        <f>C4+C5</f>
        <v>1</v>
      </c>
      <c r="D3" s="138">
        <f>[19]Input!D3</f>
        <v>2479.0600000000009</v>
      </c>
      <c r="E3" s="137">
        <f>E4+E5</f>
        <v>0.99999999999999989</v>
      </c>
      <c r="F3" s="139" t="s">
        <v>7</v>
      </c>
      <c r="H3" s="140" t="s">
        <v>10</v>
      </c>
      <c r="I3" s="141">
        <v>0.7</v>
      </c>
      <c r="J3" s="142">
        <f>I3*B3</f>
        <v>40059.492170907579</v>
      </c>
      <c r="K3" s="143" t="s">
        <v>9</v>
      </c>
      <c r="L3" s="144">
        <f>L54+L57</f>
        <v>40059.492170907586</v>
      </c>
      <c r="M3" s="145">
        <f>L3/(L4+L3)</f>
        <v>0.70000000000000007</v>
      </c>
    </row>
    <row r="4" spans="1:14" ht="15" customHeight="1" x14ac:dyDescent="0.25">
      <c r="A4" s="146" t="s">
        <v>11</v>
      </c>
      <c r="B4" s="147">
        <f>[19]Input!B4</f>
        <v>48944.11489363655</v>
      </c>
      <c r="C4" s="148">
        <f>B4/B3</f>
        <v>0.85524999366883825</v>
      </c>
      <c r="D4" s="149">
        <f>[19]Input!D4</f>
        <v>2204.3000000000006</v>
      </c>
      <c r="E4" s="148">
        <f>D4/D3</f>
        <v>0.88916766839043826</v>
      </c>
      <c r="F4" s="150">
        <f>[19]Input!F4</f>
        <v>22.203926368296756</v>
      </c>
      <c r="H4" s="140" t="s">
        <v>12</v>
      </c>
      <c r="I4" s="141">
        <v>0.3</v>
      </c>
      <c r="J4" s="142">
        <f>I4*B3</f>
        <v>17168.353787531818</v>
      </c>
      <c r="K4" s="143" t="s">
        <v>9</v>
      </c>
      <c r="L4" s="144">
        <f>L55+L58</f>
        <v>17168.353787531822</v>
      </c>
      <c r="M4" s="145">
        <f>L4/(L3+L4)</f>
        <v>0.3</v>
      </c>
    </row>
    <row r="5" spans="1:14" ht="15" customHeight="1" x14ac:dyDescent="0.25">
      <c r="A5" s="151" t="s">
        <v>13</v>
      </c>
      <c r="B5" s="152">
        <f>[19]Input!B5</f>
        <v>8283.7310648028524</v>
      </c>
      <c r="C5" s="153">
        <f>B5/B3</f>
        <v>0.14475000633116175</v>
      </c>
      <c r="D5" s="154">
        <f>[19]Input!D5</f>
        <v>274.76000000000005</v>
      </c>
      <c r="E5" s="153">
        <f>D5/D3</f>
        <v>0.11083233160956167</v>
      </c>
      <c r="F5" s="155">
        <f>[19]Input!F5</f>
        <v>30.148970246043277</v>
      </c>
    </row>
    <row r="6" spans="1:14" ht="15" customHeight="1" x14ac:dyDescent="0.25">
      <c r="B6" s="156"/>
    </row>
    <row r="7" spans="1:14" ht="15" customHeight="1" x14ac:dyDescent="0.25">
      <c r="A7" s="127" t="s">
        <v>226</v>
      </c>
      <c r="B7" s="136">
        <f>[19]Input!B7</f>
        <v>36690.579958236798</v>
      </c>
      <c r="C7" s="137">
        <f>[19]Input!C7</f>
        <v>1</v>
      </c>
      <c r="D7" s="138">
        <f>[19]Input!D7</f>
        <v>611.28</v>
      </c>
      <c r="E7" s="137">
        <f>[19]Input!E7</f>
        <v>1</v>
      </c>
      <c r="F7" s="157">
        <f>[19]Input!F7</f>
        <v>60.022542792561183</v>
      </c>
      <c r="G7" s="129" t="str">
        <f>[19]Input!G7</f>
        <v>(230 kV)</v>
      </c>
    </row>
    <row r="9" spans="1:14" ht="15" customHeight="1" x14ac:dyDescent="0.25">
      <c r="A9" s="158" t="s">
        <v>227</v>
      </c>
      <c r="B9" s="159" t="s">
        <v>228</v>
      </c>
      <c r="C9" s="160" t="s">
        <v>229</v>
      </c>
      <c r="D9" s="160" t="s">
        <v>230</v>
      </c>
      <c r="E9" s="160" t="s">
        <v>231</v>
      </c>
      <c r="F9" s="160" t="s">
        <v>232</v>
      </c>
      <c r="G9" s="160" t="s">
        <v>233</v>
      </c>
      <c r="H9" s="161" t="s">
        <v>234</v>
      </c>
      <c r="I9" s="161" t="s">
        <v>235</v>
      </c>
      <c r="J9" s="161" t="s">
        <v>236</v>
      </c>
      <c r="K9" s="161" t="s">
        <v>237</v>
      </c>
      <c r="L9" s="161" t="s">
        <v>238</v>
      </c>
      <c r="M9" s="162" t="s">
        <v>239</v>
      </c>
    </row>
    <row r="10" spans="1:14" ht="15" customHeight="1" x14ac:dyDescent="0.25">
      <c r="A10" s="163"/>
      <c r="B10" s="164" t="s">
        <v>240</v>
      </c>
      <c r="C10" s="165" t="s">
        <v>241</v>
      </c>
      <c r="D10" s="165" t="s">
        <v>242</v>
      </c>
      <c r="E10" s="165" t="s">
        <v>243</v>
      </c>
      <c r="F10" s="165" t="s">
        <v>244</v>
      </c>
      <c r="G10" s="165" t="s">
        <v>245</v>
      </c>
      <c r="H10" s="165" t="s">
        <v>246</v>
      </c>
      <c r="I10" s="165" t="s">
        <v>247</v>
      </c>
      <c r="J10" s="165" t="s">
        <v>248</v>
      </c>
      <c r="K10" s="165" t="s">
        <v>249</v>
      </c>
      <c r="L10" s="165" t="s">
        <v>250</v>
      </c>
      <c r="M10" s="166" t="s">
        <v>251</v>
      </c>
    </row>
    <row r="11" spans="1:14" ht="15" customHeight="1" x14ac:dyDescent="0.25">
      <c r="A11" s="158" t="s">
        <v>252</v>
      </c>
      <c r="B11" s="159" t="s">
        <v>253</v>
      </c>
      <c r="C11" s="160" t="s">
        <v>253</v>
      </c>
      <c r="D11" s="160" t="s">
        <v>253</v>
      </c>
      <c r="E11" s="160" t="s">
        <v>253</v>
      </c>
      <c r="F11" s="160" t="s">
        <v>253</v>
      </c>
      <c r="G11" s="160" t="s">
        <v>253</v>
      </c>
      <c r="H11" s="161" t="s">
        <v>254</v>
      </c>
      <c r="I11" s="161" t="s">
        <v>254</v>
      </c>
      <c r="J11" s="161" t="s">
        <v>254</v>
      </c>
      <c r="K11" s="161" t="s">
        <v>254</v>
      </c>
      <c r="L11" s="161" t="s">
        <v>254</v>
      </c>
      <c r="M11" s="162" t="s">
        <v>253</v>
      </c>
    </row>
    <row r="12" spans="1:14" ht="15" customHeight="1" x14ac:dyDescent="0.25">
      <c r="A12" s="167">
        <f>SUM(B12:M12)</f>
        <v>8760</v>
      </c>
      <c r="B12" s="168">
        <f>24*31</f>
        <v>744</v>
      </c>
      <c r="C12" s="169">
        <f>24*31</f>
        <v>744</v>
      </c>
      <c r="D12" s="169">
        <f>24*30</f>
        <v>720</v>
      </c>
      <c r="E12" s="169">
        <f>24*31</f>
        <v>744</v>
      </c>
      <c r="F12" s="169">
        <f>24*30</f>
        <v>720</v>
      </c>
      <c r="G12" s="169">
        <f>24*31</f>
        <v>744</v>
      </c>
      <c r="H12" s="169">
        <f>24*31</f>
        <v>744</v>
      </c>
      <c r="I12" s="169">
        <f>24*28</f>
        <v>672</v>
      </c>
      <c r="J12" s="169">
        <f>24*31</f>
        <v>744</v>
      </c>
      <c r="K12" s="169">
        <f>24*30</f>
        <v>720</v>
      </c>
      <c r="L12" s="169">
        <f>24*31</f>
        <v>744</v>
      </c>
      <c r="M12" s="170">
        <f>24*30</f>
        <v>720</v>
      </c>
      <c r="N12" s="171">
        <f>SUM(B12:M12)</f>
        <v>8760</v>
      </c>
    </row>
    <row r="13" spans="1:14" ht="15" customHeight="1" x14ac:dyDescent="0.25">
      <c r="A13" s="172" t="s">
        <v>255</v>
      </c>
      <c r="B13" s="146">
        <f>[24]M01!$H$13</f>
        <v>744</v>
      </c>
      <c r="C13" s="129">
        <f>[24]M02!$H$13</f>
        <v>744</v>
      </c>
      <c r="D13" s="129">
        <f>[24]M03!$H$13</f>
        <v>720</v>
      </c>
      <c r="E13" s="129">
        <f>[24]M04!$H$13</f>
        <v>744</v>
      </c>
      <c r="F13" s="129">
        <f>[24]M05!$H$13</f>
        <v>720</v>
      </c>
      <c r="G13" s="129">
        <f>[24]M06!$H$13</f>
        <v>744</v>
      </c>
      <c r="H13" s="129">
        <f>[24]M07!$H$13</f>
        <v>744</v>
      </c>
      <c r="I13" s="129">
        <f>[24]M08!$H$13</f>
        <v>672</v>
      </c>
      <c r="J13" s="129">
        <f>[24]M09!$H$13</f>
        <v>744</v>
      </c>
      <c r="K13" s="129">
        <f>[24]M10!$H$13</f>
        <v>720</v>
      </c>
      <c r="L13" s="129">
        <f>[24]M11!$H$13</f>
        <v>744</v>
      </c>
      <c r="M13" s="173">
        <f>[24]M12!$H$13</f>
        <v>720</v>
      </c>
      <c r="N13" s="171">
        <f>SUM(B13:M13)</f>
        <v>8760</v>
      </c>
    </row>
    <row r="14" spans="1:14" ht="15" customHeight="1" x14ac:dyDescent="0.25">
      <c r="A14" s="163" t="s">
        <v>256</v>
      </c>
      <c r="B14" s="174">
        <f>[24]M01!$I$13</f>
        <v>8.493150684931508E-2</v>
      </c>
      <c r="C14" s="175">
        <f>[24]M02!$I$13</f>
        <v>8.4931506849315067E-2</v>
      </c>
      <c r="D14" s="175">
        <f>[24]M03!$I$13</f>
        <v>8.2191780821917804E-2</v>
      </c>
      <c r="E14" s="175">
        <f>[24]M04!$I$13</f>
        <v>8.493150684931508E-2</v>
      </c>
      <c r="F14" s="175">
        <f>[24]M05!$I$13</f>
        <v>8.2191780821917818E-2</v>
      </c>
      <c r="G14" s="175">
        <f>[24]M06!$I$13</f>
        <v>8.493150684931508E-2</v>
      </c>
      <c r="H14" s="175">
        <f>[24]M07!$I$13</f>
        <v>8.4931506849315067E-2</v>
      </c>
      <c r="I14" s="175">
        <f>[24]M08!$I$13</f>
        <v>7.6712328767123306E-2</v>
      </c>
      <c r="J14" s="175">
        <f>[24]M09!$I$13</f>
        <v>8.4931506849315067E-2</v>
      </c>
      <c r="K14" s="175">
        <f>[24]M10!$I$13</f>
        <v>8.2191780821917804E-2</v>
      </c>
      <c r="L14" s="175">
        <f>[24]M11!$I$13</f>
        <v>8.493150684931508E-2</v>
      </c>
      <c r="M14" s="176">
        <f>[24]M12!$I$13</f>
        <v>8.2191780821917804E-2</v>
      </c>
      <c r="N14" s="177">
        <f>SUM(B14:M14)</f>
        <v>1</v>
      </c>
    </row>
    <row r="16" spans="1:14" ht="20.25" customHeight="1" x14ac:dyDescent="0.25">
      <c r="A16" s="178" t="s">
        <v>26</v>
      </c>
      <c r="B16" s="179">
        <v>1</v>
      </c>
      <c r="C16" s="179">
        <v>2</v>
      </c>
      <c r="D16" s="179">
        <v>3</v>
      </c>
      <c r="E16" s="179">
        <v>4</v>
      </c>
      <c r="F16" s="179">
        <v>5</v>
      </c>
      <c r="G16" s="179">
        <v>6</v>
      </c>
      <c r="H16" s="179">
        <v>7</v>
      </c>
      <c r="I16" s="179">
        <v>8</v>
      </c>
      <c r="J16" s="179">
        <v>9</v>
      </c>
      <c r="K16" s="180">
        <v>10</v>
      </c>
      <c r="L16" s="181" t="s">
        <v>21</v>
      </c>
    </row>
    <row r="17" spans="1:14" ht="25.15" customHeight="1" x14ac:dyDescent="0.25">
      <c r="A17" s="182" t="s">
        <v>257</v>
      </c>
      <c r="B17" s="183" t="s">
        <v>258</v>
      </c>
      <c r="C17" s="183" t="s">
        <v>259</v>
      </c>
      <c r="D17" s="183" t="s">
        <v>260</v>
      </c>
      <c r="E17" s="183" t="s">
        <v>261</v>
      </c>
      <c r="F17" s="183" t="s">
        <v>262</v>
      </c>
      <c r="G17" s="183" t="s">
        <v>263</v>
      </c>
      <c r="H17" s="183" t="s">
        <v>264</v>
      </c>
      <c r="I17" s="183" t="s">
        <v>265</v>
      </c>
      <c r="J17" s="183" t="s">
        <v>266</v>
      </c>
      <c r="K17" s="184" t="s">
        <v>267</v>
      </c>
      <c r="L17" s="185"/>
    </row>
    <row r="18" spans="1:14" ht="20.25" customHeight="1" x14ac:dyDescent="0.25">
      <c r="A18" s="186" t="s">
        <v>268</v>
      </c>
      <c r="L18" s="187"/>
    </row>
    <row r="19" spans="1:14" ht="15" customHeight="1" x14ac:dyDescent="0.25">
      <c r="A19" s="158" t="s">
        <v>269</v>
      </c>
      <c r="B19" s="188">
        <f>[19]Input!B11</f>
        <v>320.07000000000005</v>
      </c>
      <c r="C19" s="189">
        <f>[19]Input!C11</f>
        <v>548.69000000000005</v>
      </c>
      <c r="D19" s="189">
        <f>[19]Input!D11</f>
        <v>152.99</v>
      </c>
      <c r="E19" s="189">
        <f>[19]Input!E11</f>
        <v>405.78000000000003</v>
      </c>
      <c r="F19" s="189">
        <f>[19]Input!F11</f>
        <v>978.46999999999991</v>
      </c>
      <c r="G19" s="189">
        <f>[19]Input!G11</f>
        <v>147</v>
      </c>
      <c r="H19" s="189">
        <f>[19]Input!H11</f>
        <v>159.33000000000001</v>
      </c>
      <c r="I19" s="189">
        <f>[19]Input!I11</f>
        <v>260</v>
      </c>
      <c r="J19" s="189">
        <f>[19]Input!J11</f>
        <v>740.25</v>
      </c>
      <c r="K19" s="190">
        <f>[19]Input!K11</f>
        <v>252.17</v>
      </c>
      <c r="L19" s="191">
        <f>SUM(B19:K19)</f>
        <v>3964.75</v>
      </c>
    </row>
    <row r="20" spans="1:14" ht="15" customHeight="1" x14ac:dyDescent="0.25">
      <c r="A20" s="163" t="s">
        <v>23</v>
      </c>
      <c r="B20" s="192">
        <f>[19]Input!B12</f>
        <v>20.143945782958362</v>
      </c>
      <c r="C20" s="193">
        <f>[19]Input!C12</f>
        <v>0</v>
      </c>
      <c r="D20" s="193">
        <f>[19]Input!D12</f>
        <v>9.2524865931485331E-2</v>
      </c>
      <c r="E20" s="193">
        <f>[19]Input!E12</f>
        <v>119.48122302839568</v>
      </c>
      <c r="F20" s="193">
        <f>[19]Input!F12</f>
        <v>608.94066082599772</v>
      </c>
      <c r="G20" s="193">
        <f>[19]Input!G12</f>
        <v>199.17893333333333</v>
      </c>
      <c r="H20" s="193">
        <f>[19]Input!H12</f>
        <v>1159.9379902241108</v>
      </c>
      <c r="I20" s="193">
        <f>[19]Input!I12</f>
        <v>1.33</v>
      </c>
      <c r="J20" s="193">
        <f>[19]Input!J12</f>
        <v>153.73000000000002</v>
      </c>
      <c r="K20" s="194">
        <f>[19]Input!K12</f>
        <v>72.75112541961515</v>
      </c>
      <c r="L20" s="195">
        <f>SUM(B20:K20)</f>
        <v>2335.5864034803426</v>
      </c>
    </row>
    <row r="21" spans="1:14" ht="20.25" customHeight="1" x14ac:dyDescent="0.25">
      <c r="A21" s="186" t="s">
        <v>270</v>
      </c>
      <c r="L21" s="187"/>
    </row>
    <row r="22" spans="1:14" ht="15" customHeight="1" x14ac:dyDescent="0.25">
      <c r="A22" s="158" t="s">
        <v>271</v>
      </c>
      <c r="B22" s="188">
        <f>SUM([24]M01!B21*$B$14,[24]M02!B21*$C$14,[24]M03!B21*$D$14,[24]M04!B21*$E$14,[24]M05!B21*$F$14,[24]M06!B21*$G$14,[24]M07!B21*$H$14,[24]M08!B21*$I$14,[24]M09!B21*$J$14,[24]M10!B21*$K$14,[24]M11!B21*$L$14,[24]M12!B21*$M$14)/$N$14</f>
        <v>130.54790525114154</v>
      </c>
      <c r="C22" s="189">
        <f>SUM([24]M01!C21*$B$14,[24]M02!C21*$C$14,[24]M03!C21*$D$14,[24]M04!C21*$E$14,[24]M05!C21*$F$14,[24]M06!C21*$G$14,[24]M07!C21*$H$14,[24]M08!C21*$I$14,[24]M09!C21*$J$14,[24]M10!C21*$K$14,[24]M11!C21*$L$14,[24]M12!C21*$M$14)/$N$14</f>
        <v>285.60752283105023</v>
      </c>
      <c r="D22" s="189">
        <f>SUM([24]M01!D21*$B$14,[24]M02!D21*$C$14,[24]M03!D21*$D$14,[24]M04!D21*$E$14,[24]M05!D21*$F$14,[24]M06!D21*$G$14,[24]M07!D21*$H$14,[24]M08!D21*$I$14,[24]M09!D21*$J$14,[24]M10!D21*$K$14,[24]M11!D21*$L$14,[24]M12!D21*$M$14)/$N$14</f>
        <v>108.28904109589044</v>
      </c>
      <c r="E22" s="189">
        <f>SUM([24]M01!E21*$B$14,[24]M02!E21*$C$14,[24]M03!E21*$D$14,[24]M04!E21*$E$14,[24]M05!E21*$F$14,[24]M06!E21*$G$14,[24]M07!E21*$H$14,[24]M08!E21*$I$14,[24]M09!E21*$J$14,[24]M10!E21*$K$14,[24]M11!E21*$L$14,[24]M12!E21*$M$14)/$N$14</f>
        <v>284.25082191780831</v>
      </c>
      <c r="F22" s="189">
        <f>SUM([24]M01!F21*$B$14,[24]M02!F21*$C$14,[24]M03!F21*$D$14,[24]M04!F21*$E$14,[24]M05!F21*$F$14,[24]M06!F21*$G$14,[24]M07!F21*$H$14,[24]M08!F21*$I$14,[24]M09!F21*$J$14,[24]M10!F21*$K$14,[24]M11!F21*$L$14,[24]M12!F21*$M$14)/$N$14</f>
        <v>146.42757420091323</v>
      </c>
      <c r="G22" s="189">
        <f>SUM([24]M01!G21*$B$14,[24]M02!G21*$C$14,[24]M03!G21*$D$14,[24]M04!G21*$E$14,[24]M05!G21*$F$14,[24]M06!G21*$G$14,[24]M07!G21*$H$14,[24]M08!G21*$I$14,[24]M09!G21*$J$14,[24]M10!G21*$K$14,[24]M11!G21*$L$14,[24]M12!G21*$M$14)/$N$14</f>
        <v>16.682676940639272</v>
      </c>
      <c r="H22" s="189">
        <f>SUM([24]M01!H21*$B$14,[24]M02!H21*$C$14,[24]M03!H21*$D$14,[24]M04!H21*$E$14,[24]M05!H21*$F$14,[24]M06!H21*$G$14,[24]M07!H21*$H$14,[24]M08!H21*$I$14,[24]M09!H21*$J$14,[24]M10!H21*$K$14,[24]M11!H21*$L$14,[24]M12!H21*$M$14)/$N$14</f>
        <v>1.8370262557077628</v>
      </c>
      <c r="I22" s="189">
        <f>SUM([24]M01!I21*$B$14,[24]M02!I21*$C$14,[24]M03!I21*$D$14,[24]M04!I21*$E$14,[24]M05!I21*$F$14,[24]M06!I21*$G$14,[24]M07!I21*$H$14,[24]M08!I21*$I$14,[24]M09!I21*$J$14,[24]M10!I21*$K$14,[24]M11!I21*$L$14,[24]M12!I21*$M$14)/$N$14</f>
        <v>19.392694063926939</v>
      </c>
      <c r="J22" s="189">
        <f>SUM([24]M01!J21*$B$14,[24]M02!J21*$C$14,[24]M03!J21*$D$14,[24]M04!J21*$E$14,[24]M05!J21*$F$14,[24]M06!J21*$G$14,[24]M07!J21*$H$14,[24]M08!J21*$I$14,[24]M09!J21*$J$14,[24]M10!J21*$K$14,[24]M11!J21*$L$14,[24]M12!J21*$M$14)/$N$14</f>
        <v>196.54067922374429</v>
      </c>
      <c r="K22" s="190">
        <f>SUM([24]M01!K21*$B$14,[24]M02!K21*$C$14,[24]M03!K21*$D$14,[24]M04!K21*$E$14,[24]M05!K21*$F$14,[24]M06!K21*$G$14,[24]M07!K21*$H$14,[24]M08!K21*$I$14,[24]M09!K21*$J$14,[24]M10!K21*$K$14,[24]M11!K21*$L$14,[24]M12!K21*$M$14)/$N$14</f>
        <v>183.49526826484021</v>
      </c>
      <c r="L22" s="191">
        <f>SUM(B22:K22)</f>
        <v>1373.0712100456622</v>
      </c>
    </row>
    <row r="23" spans="1:14" ht="15" customHeight="1" x14ac:dyDescent="0.25">
      <c r="A23" s="163" t="s">
        <v>272</v>
      </c>
      <c r="B23" s="192">
        <f>SUM([24]M01!B22*$B$14,[24]M02!B22*$C$14,[24]M03!B22*$D$14,[24]M04!B22*$E$14,[24]M05!B22*$F$14,[24]M06!B22*$G$14,[24]M07!B22*$H$14,[24]M08!B22*$I$14,[24]M09!B22*$J$14,[24]M10!B22*$K$14,[24]M11!B22*$L$14,[24]M12!B22*$M$14)/$N$14</f>
        <v>34.671187214611876</v>
      </c>
      <c r="C23" s="193">
        <f>SUM([24]M01!C22*$B$14,[24]M02!C22*$C$14,[24]M03!C22*$D$14,[24]M04!C22*$E$14,[24]M05!C22*$F$14,[24]M06!C22*$G$14,[24]M07!C22*$H$14,[24]M08!C22*$I$14,[24]M09!C22*$J$14,[24]M10!C22*$K$14,[24]M11!C22*$L$14,[24]M12!C22*$M$14)/$N$14</f>
        <v>0</v>
      </c>
      <c r="D23" s="193">
        <f>SUM([24]M01!D22*$B$14,[24]M02!D22*$C$14,[24]M03!D22*$D$14,[24]M04!D22*$E$14,[24]M05!D22*$F$14,[24]M06!D22*$G$14,[24]M07!D22*$H$14,[24]M08!D22*$I$14,[24]M09!D22*$J$14,[24]M10!D22*$K$14,[24]M11!D22*$L$14,[24]M12!D22*$M$14)/$N$14</f>
        <v>4.2859589041095894E-2</v>
      </c>
      <c r="E23" s="193">
        <f>SUM([24]M01!E22*$B$14,[24]M02!E22*$C$14,[24]M03!E22*$D$14,[24]M04!E22*$E$14,[24]M05!E22*$F$14,[24]M06!E22*$G$14,[24]M07!E22*$H$14,[24]M08!E22*$I$14,[24]M09!E22*$J$14,[24]M10!E22*$K$14,[24]M11!E22*$L$14,[24]M12!E22*$M$14)/$N$14</f>
        <v>64.018886986301382</v>
      </c>
      <c r="F23" s="193">
        <f>SUM([24]M01!F22*$B$14,[24]M02!F22*$C$14,[24]M03!F22*$D$14,[24]M04!F22*$E$14,[24]M05!F22*$F$14,[24]M06!F22*$G$14,[24]M07!F22*$H$14,[24]M08!F22*$I$14,[24]M09!F22*$J$14,[24]M10!F22*$K$14,[24]M11!F22*$L$14,[24]M12!F22*$M$14)/$N$14</f>
        <v>162.97953196347032</v>
      </c>
      <c r="G23" s="193">
        <f>SUM([24]M01!G22*$B$14,[24]M02!G22*$C$14,[24]M03!G22*$D$14,[24]M04!G22*$E$14,[24]M05!G22*$F$14,[24]M06!G22*$G$14,[24]M07!G22*$H$14,[24]M08!G22*$I$14,[24]M09!G22*$J$14,[24]M10!G22*$K$14,[24]M11!G22*$L$14,[24]M12!G22*$M$14)/$N$14</f>
        <v>142.07667808219179</v>
      </c>
      <c r="H23" s="193">
        <f>SUM([24]M01!H22*$B$14,[24]M02!H22*$C$14,[24]M03!H22*$D$14,[24]M04!H22*$E$14,[24]M05!H22*$F$14,[24]M06!H22*$G$14,[24]M07!H22*$H$14,[24]M08!H22*$I$14,[24]M09!H22*$J$14,[24]M10!H22*$K$14,[24]M11!H22*$L$14,[24]M12!H22*$M$14)/$N$14</f>
        <v>836.12334474885847</v>
      </c>
      <c r="I23" s="193">
        <f>SUM([24]M01!I22*$B$14,[24]M02!I22*$C$14,[24]M03!I22*$D$14,[24]M04!I22*$E$14,[24]M05!I22*$F$14,[24]M06!I22*$G$14,[24]M07!I22*$H$14,[24]M08!I22*$I$14,[24]M09!I22*$J$14,[24]M10!I22*$K$14,[24]M11!I22*$L$14,[24]M12!I22*$M$14)/$N$14</f>
        <v>0</v>
      </c>
      <c r="J23" s="193">
        <f>SUM([24]M01!J22*$B$14,[24]M02!J22*$C$14,[24]M03!J22*$D$14,[24]M04!J22*$E$14,[24]M05!J22*$F$14,[24]M06!J22*$G$14,[24]M07!J22*$H$14,[24]M08!J22*$I$14,[24]M09!J22*$J$14,[24]M10!J22*$K$14,[24]M11!J22*$L$14,[24]M12!J22*$M$14)/$N$14</f>
        <v>113.93634703196349</v>
      </c>
      <c r="K23" s="194">
        <f>SUM([24]M01!K22*$B$14,[24]M02!K22*$C$14,[24]M03!K22*$D$14,[24]M04!K22*$E$14,[24]M05!K22*$F$14,[24]M06!K22*$G$14,[24]M07!K22*$H$14,[24]M08!K22*$I$14,[24]M09!K22*$J$14,[24]M10!K22*$K$14,[24]M11!K22*$L$14,[24]M12!K22*$M$14)/$N$14</f>
        <v>19.215159817351598</v>
      </c>
      <c r="L23" s="195">
        <f>SUM(B23:K23)</f>
        <v>1373.0639954337901</v>
      </c>
    </row>
    <row r="24" spans="1:14" ht="20.25" customHeight="1" x14ac:dyDescent="0.25">
      <c r="A24" s="186" t="s">
        <v>273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187"/>
    </row>
    <row r="25" spans="1:14" ht="15" customHeight="1" x14ac:dyDescent="0.25">
      <c r="A25" s="158" t="s">
        <v>274</v>
      </c>
      <c r="B25" s="188">
        <f>SUM([24]M01!B24,[24]M02!B24,[24]M03!B24,[24]M04!B24,[24]M05!B24,[24]M06!B24,[24]M07!B24,[24]M08!B24,[24]M09!B24,[24]M10!B24,[24]M11!B24,[24]M12!B24)</f>
        <v>1143.5996500000001</v>
      </c>
      <c r="C25" s="189">
        <f>SUM([24]M01!C24,[24]M02!C24,[24]M03!C24,[24]M04!C24,[24]M05!C24,[24]M06!C24,[24]M07!C24,[24]M08!C24,[24]M09!C24,[24]M10!C24,[24]M11!C24,[24]M12!C24)</f>
        <v>2501.9219000000003</v>
      </c>
      <c r="D25" s="189">
        <f>SUM([24]M01!D24,[24]M02!D24,[24]M03!D24,[24]M04!D24,[24]M05!D24,[24]M06!D24,[24]M07!D24,[24]M08!D24,[24]M09!D24,[24]M10!D24,[24]M11!D24,[24]M12!D24)</f>
        <v>948.61200000000008</v>
      </c>
      <c r="E25" s="189">
        <f>SUM([24]M01!E24,[24]M02!E24,[24]M03!E24,[24]M04!E24,[24]M05!E24,[24]M06!E24,[24]M07!E24,[24]M08!E24,[24]M09!E24,[24]M10!E24,[24]M11!E24,[24]M12!E24)</f>
        <v>2490.0371999999998</v>
      </c>
      <c r="F25" s="189">
        <f>SUM([24]M01!F24,[24]M02!F24,[24]M03!F24,[24]M04!F24,[24]M05!F24,[24]M06!F24,[24]M07!F24,[24]M08!F24,[24]M09!F24,[24]M10!F24,[24]M11!F24,[24]M12!F24)</f>
        <v>1282.7055499999999</v>
      </c>
      <c r="G25" s="189">
        <f>SUM([24]M01!G24,[24]M02!G24,[24]M03!G24,[24]M04!G24,[24]M05!G24,[24]M06!G24,[24]M07!G24,[24]M08!G24,[24]M09!G24,[24]M10!G24,[24]M11!G24,[24]M12!G24)</f>
        <v>146.14025000000001</v>
      </c>
      <c r="H25" s="189">
        <f>SUM([24]M01!H24,[24]M02!H24,[24]M03!H24,[24]M04!H24,[24]M05!H24,[24]M06!H24,[24]M07!H24,[24]M08!H24,[24]M09!H24,[24]M10!H24,[24]M11!H24,[24]M12!H24)</f>
        <v>16.09235</v>
      </c>
      <c r="I25" s="189">
        <f>SUM([24]M01!I24,[24]M02!I24,[24]M03!I24,[24]M04!I24,[24]M05!I24,[24]M06!I24,[24]M07!I24,[24]M08!I24,[24]M09!I24,[24]M10!I24,[24]M11!I24,[24]M12!I24)</f>
        <v>169.88</v>
      </c>
      <c r="J25" s="189">
        <f>SUM([24]M01!J24,[24]M02!J24,[24]M03!J24,[24]M04!J24,[24]M05!J24,[24]M06!J24,[24]M07!J24,[24]M08!J24,[24]M09!J24,[24]M10!J24,[24]M11!J24,[24]M12!J24)</f>
        <v>1721.6963500000002</v>
      </c>
      <c r="K25" s="190">
        <f>SUM([24]M01!K24,[24]M02!K24,[24]M03!K24,[24]M04!K24,[24]M05!K24,[24]M06!K24,[24]M07!K24,[24]M08!K24,[24]M09!K24,[24]M10!K24,[24]M11!K24,[24]M12!K24)</f>
        <v>1607.4185499999999</v>
      </c>
      <c r="L25" s="191">
        <f>SUM(B25:K25)</f>
        <v>12028.103800000001</v>
      </c>
    </row>
    <row r="26" spans="1:14" ht="15" customHeight="1" x14ac:dyDescent="0.25">
      <c r="A26" s="163" t="s">
        <v>275</v>
      </c>
      <c r="B26" s="192">
        <f>SUM([24]M01!B25,[24]M02!B25,[24]M03!B25,[24]M04!B25,[24]M05!B25,[24]M06!B25,[24]M07!B25,[24]M08!B25,[24]M09!B25,[24]M10!B25,[24]M11!B25,[24]M12!B25)</f>
        <v>303.71960000000001</v>
      </c>
      <c r="C26" s="193">
        <f>SUM([24]M01!C25,[24]M02!C25,[24]M03!C25,[24]M04!C25,[24]M05!C25,[24]M06!C25,[24]M07!C25,[24]M08!C25,[24]M09!C25,[24]M10!C25,[24]M11!C25,[24]M12!C25)</f>
        <v>0</v>
      </c>
      <c r="D26" s="193">
        <f>SUM([24]M01!D25,[24]M02!D25,[24]M03!D25,[24]M04!D25,[24]M05!D25,[24]M06!D25,[24]M07!D25,[24]M08!D25,[24]M09!D25,[24]M10!D25,[24]M11!D25,[24]M12!D25)</f>
        <v>0.37545000000000001</v>
      </c>
      <c r="E26" s="193">
        <f>SUM([24]M01!E25,[24]M02!E25,[24]M03!E25,[24]M04!E25,[24]M05!E25,[24]M06!E25,[24]M07!E25,[24]M08!E25,[24]M09!E25,[24]M10!E25,[24]M11!E25,[24]M12!E25)</f>
        <v>560.80545000000006</v>
      </c>
      <c r="F26" s="193">
        <f>SUM([24]M01!F25,[24]M02!F25,[24]M03!F25,[24]M04!F25,[24]M05!F25,[24]M06!F25,[24]M07!F25,[24]M08!F25,[24]M09!F25,[24]M10!F25,[24]M11!F25,[24]M12!F25)</f>
        <v>1427.7007000000001</v>
      </c>
      <c r="G26" s="193">
        <f>SUM([24]M01!G25,[24]M02!G25,[24]M03!G25,[24]M04!G25,[24]M05!G25,[24]M06!G25,[24]M07!G25,[24]M08!G25,[24]M09!G25,[24]M10!G25,[24]M11!G25,[24]M12!G25)</f>
        <v>1244.5916999999997</v>
      </c>
      <c r="H26" s="193">
        <f>SUM([24]M01!H25,[24]M02!H25,[24]M03!H25,[24]M04!H25,[24]M05!H25,[24]M06!H25,[24]M07!H25,[24]M08!H25,[24]M09!H25,[24]M10!H25,[24]M11!H25,[24]M12!H25)</f>
        <v>7324.4405000000006</v>
      </c>
      <c r="I26" s="193">
        <f>SUM([24]M01!I25,[24]M02!I25,[24]M03!I25,[24]M04!I25,[24]M05!I25,[24]M06!I25,[24]M07!I25,[24]M08!I25,[24]M09!I25,[24]M10!I25,[24]M11!I25,[24]M12!I25)</f>
        <v>0</v>
      </c>
      <c r="J26" s="193">
        <f>SUM([24]M01!J25,[24]M02!J25,[24]M03!J25,[24]M04!J25,[24]M05!J25,[24]M06!J25,[24]M07!J25,[24]M08!J25,[24]M09!J25,[24]M10!J25,[24]M11!J25,[24]M12!J25)</f>
        <v>998.08240000000001</v>
      </c>
      <c r="K26" s="194">
        <f>SUM([24]M01!K25,[24]M02!K25,[24]M03!K25,[24]M04!K25,[24]M05!K25,[24]M06!K25,[24]M07!K25,[24]M08!K25,[24]M09!K25,[24]M10!K25,[24]M11!K25,[24]M12!K25)</f>
        <v>168.32480000000001</v>
      </c>
      <c r="L26" s="195">
        <f>SUM(B26:K26)</f>
        <v>12028.0406</v>
      </c>
    </row>
    <row r="27" spans="1:14" ht="9.9499999999999993" customHeight="1" x14ac:dyDescent="0.25"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7"/>
      <c r="N27" s="198"/>
    </row>
    <row r="28" spans="1:14" ht="20.25" customHeight="1" x14ac:dyDescent="0.25">
      <c r="A28" s="186" t="s">
        <v>276</v>
      </c>
      <c r="L28" s="187"/>
      <c r="N28" s="198"/>
    </row>
    <row r="29" spans="1:14" ht="15" customHeight="1" x14ac:dyDescent="0.25">
      <c r="A29" s="199" t="s">
        <v>218</v>
      </c>
      <c r="B29" s="200">
        <f>SUM([24]M01!B27*$B$14,[24]M02!B27*$C$14,[24]M03!B27*$D$14,[24]M04!B27*$E$14,[24]M05!B27*$F$14,[24]M06!B27*$G$14,[24]M07!B27*$H$14,[24]M08!B27*$I$14,[24]M09!B27*$J$14,[24]M10!B27*$K$14,[24]M11!B27*$L$14,[24]M12!B27*$M$14)/$N$14</f>
        <v>1.7448224699915924</v>
      </c>
      <c r="C29" s="201">
        <f>SUM([24]M01!C27*$B$14,[24]M02!C27*$C$14,[24]M03!C27*$D$14,[24]M04!C27*$E$14,[24]M05!C27*$F$14,[24]M06!C27*$G$14,[24]M07!C27*$H$14,[24]M08!C27*$I$14,[24]M09!C27*$J$14,[24]M10!C27*$K$14,[24]M11!C27*$L$14,[24]M12!C27*$M$14)/$N$14</f>
        <v>2.2081434456453111</v>
      </c>
      <c r="D29" s="201">
        <f>SUM([24]M01!D27*$B$14,[24]M02!D27*$C$14,[24]M03!D27*$D$14,[24]M04!D27*$E$14,[24]M05!D27*$F$14,[24]M06!D27*$G$14,[24]M07!D27*$H$14,[24]M08!D27*$I$14,[24]M09!D27*$J$14,[24]M10!D27*$K$14,[24]M11!D27*$L$14,[24]M12!D27*$M$14)/$N$14</f>
        <v>2.194460567661713</v>
      </c>
      <c r="E29" s="201">
        <f>SUM([24]M01!E27*$B$14,[24]M02!E27*$C$14,[24]M03!E27*$D$14,[24]M04!E27*$E$14,[24]M05!E27*$F$14,[24]M06!E27*$G$14,[24]M07!E27*$H$14,[24]M08!E27*$I$14,[24]M09!E27*$J$14,[24]M10!E27*$K$14,[24]M11!E27*$L$14,[24]M12!E27*$M$14)/$N$14</f>
        <v>1.7862621945778117</v>
      </c>
      <c r="F29" s="201">
        <f>SUM([24]M01!F27*$B$14,[24]M02!F27*$C$14,[24]M03!F27*$D$14,[24]M04!F27*$E$14,[24]M05!F27*$F$14,[24]M06!F27*$G$14,[24]M07!F27*$H$14,[24]M08!F27*$I$14,[24]M09!F27*$J$14,[24]M10!F27*$K$14,[24]M11!F27*$L$14,[24]M12!F27*$M$14)/$N$14</f>
        <v>0.92838910706314581</v>
      </c>
      <c r="G29" s="201">
        <f>SUM([24]M01!G27*$B$14,[24]M02!G27*$C$14,[24]M03!G27*$D$14,[24]M04!G27*$E$14,[24]M05!G27*$F$14,[24]M06!G27*$G$14,[24]M07!G27*$H$14,[24]M08!G27*$I$14,[24]M09!G27*$J$14,[24]M10!G27*$K$14,[24]M11!G27*$L$14,[24]M12!G27*$M$14)/$N$14</f>
        <v>0.15050794174113349</v>
      </c>
      <c r="H29" s="201">
        <f>SUM([24]M01!H27*$B$14,[24]M02!H27*$C$14,[24]M03!H27*$D$14,[24]M04!H27*$E$14,[24]M05!H27*$F$14,[24]M06!H27*$G$14,[24]M07!H27*$H$14,[24]M08!H27*$I$14,[24]M09!H27*$J$14,[24]M10!H27*$K$14,[24]M11!H27*$L$14,[24]M12!H27*$M$14)/$N$14</f>
        <v>7.1881588169741953E-2</v>
      </c>
      <c r="I29" s="201">
        <f>SUM([24]M01!I27*$B$14,[24]M02!I27*$C$14,[24]M03!I27*$D$14,[24]M04!I27*$E$14,[24]M05!I27*$F$14,[24]M06!I27*$G$14,[24]M07!I27*$H$14,[24]M08!I27*$I$14,[24]M09!I27*$J$14,[24]M10!I27*$K$14,[24]M11!I27*$L$14,[24]M12!I27*$M$14)/$N$14</f>
        <v>0.25557212042540228</v>
      </c>
      <c r="J29" s="201">
        <f>SUM([24]M01!J27*$B$14,[24]M02!J27*$C$14,[24]M03!J27*$D$14,[24]M04!J27*$E$14,[24]M05!J27*$F$14,[24]M06!J27*$G$14,[24]M07!J27*$H$14,[24]M08!J27*$I$14,[24]M09!J27*$J$14,[24]M10!J27*$K$14,[24]M11!J27*$L$14,[24]M12!J27*$M$14)/$N$14</f>
        <v>0.30745258706050682</v>
      </c>
      <c r="K29" s="202">
        <f>SUM([24]M01!K27*$B$14,[24]M02!K27*$C$14,[24]M03!K27*$D$14,[24]M04!K27*$E$14,[24]M05!K27*$F$14,[24]M06!K27*$G$14,[24]M07!K27*$H$14,[24]M08!K27*$I$14,[24]M09!K27*$J$14,[24]M10!K27*$K$14,[24]M11!K27*$L$14,[24]M12!K27*$M$14)/$N$14</f>
        <v>3.0473583847654684</v>
      </c>
      <c r="L29" s="187"/>
      <c r="N29" s="198"/>
    </row>
    <row r="30" spans="1:14" ht="15" customHeight="1" x14ac:dyDescent="0.25">
      <c r="A30" s="203" t="s">
        <v>277</v>
      </c>
      <c r="B30" s="204">
        <f>SUM([24]M01!B28*$B$14,[24]M02!B28*$C$14,[24]M03!B28*$D$14,[24]M04!B28*$E$14,[24]M05!B28*$F$14,[24]M06!B28*$G$14,[24]M07!B28*$H$14,[24]M08!B28*$I$14,[24]M09!B28*$J$14,[24]M10!B28*$K$14,[24]M11!B28*$L$14,[24]M12!B28*$M$14)/$N$14</f>
        <v>0</v>
      </c>
      <c r="C30" s="205">
        <f>SUM([24]M01!C28*$B$14,[24]M02!C28*$C$14,[24]M03!C28*$D$14,[24]M04!C28*$E$14,[24]M05!C28*$F$14,[24]M06!C28*$G$14,[24]M07!C28*$H$14,[24]M08!C28*$I$14,[24]M09!C28*$J$14,[24]M10!C28*$K$14,[24]M11!C28*$L$14,[24]M12!C28*$M$14)/$N$14</f>
        <v>0</v>
      </c>
      <c r="D30" s="205">
        <f>SUM([24]M01!D28*$B$14,[24]M02!D28*$C$14,[24]M03!D28*$D$14,[24]M04!D28*$E$14,[24]M05!D28*$F$14,[24]M06!D28*$G$14,[24]M07!D28*$H$14,[24]M08!D28*$I$14,[24]M09!D28*$J$14,[24]M10!D28*$K$14,[24]M11!D28*$L$14,[24]M12!D28*$M$14)/$N$14</f>
        <v>0</v>
      </c>
      <c r="E30" s="205">
        <f>SUM([24]M01!E28*$B$14,[24]M02!E28*$C$14,[24]M03!E28*$D$14,[24]M04!E28*$E$14,[24]M05!E28*$F$14,[24]M06!E28*$G$14,[24]M07!E28*$H$14,[24]M08!E28*$I$14,[24]M09!E28*$J$14,[24]M10!E28*$K$14,[24]M11!E28*$L$14,[24]M12!E28*$M$14)/$N$14</f>
        <v>0.31018385705217766</v>
      </c>
      <c r="F30" s="205">
        <f>SUM([24]M01!F28*$B$14,[24]M02!F28*$C$14,[24]M03!F28*$D$14,[24]M04!F28*$E$14,[24]M05!F28*$F$14,[24]M06!F28*$G$14,[24]M07!F28*$H$14,[24]M08!F28*$I$14,[24]M09!F28*$J$14,[24]M10!F28*$K$14,[24]M11!F28*$L$14,[24]M12!F28*$M$14)/$N$14</f>
        <v>0.55038250771403652</v>
      </c>
      <c r="G30" s="205">
        <f>SUM([24]M01!G28*$B$14,[24]M02!G28*$C$14,[24]M03!G28*$D$14,[24]M04!G28*$E$14,[24]M05!G28*$F$14,[24]M06!G28*$G$14,[24]M07!G28*$H$14,[24]M08!G28*$I$14,[24]M09!G28*$J$14,[24]M10!G28*$K$14,[24]M11!G28*$L$14,[24]M12!G28*$M$14)/$N$14</f>
        <v>0.84866802791121021</v>
      </c>
      <c r="H30" s="205">
        <f>SUM([24]M01!H28*$B$14,[24]M02!H28*$C$14,[24]M03!H28*$D$14,[24]M04!H28*$E$14,[24]M05!H28*$F$14,[24]M06!H28*$G$14,[24]M07!H28*$H$14,[24]M08!H28*$I$14,[24]M09!H28*$J$14,[24]M10!H28*$K$14,[24]M11!H28*$L$14,[24]M12!H28*$M$14)/$N$14</f>
        <v>0.82878957358281957</v>
      </c>
      <c r="I30" s="205">
        <f>SUM([24]M01!I28*$B$14,[24]M02!I28*$C$14,[24]M03!I28*$D$14,[24]M04!I28*$E$14,[24]M05!I28*$F$14,[24]M06!I28*$G$14,[24]M07!I28*$H$14,[24]M08!I28*$I$14,[24]M09!I28*$J$14,[24]M10!I28*$K$14,[24]M11!I28*$L$14,[24]M12!I28*$M$14)/$N$14</f>
        <v>0</v>
      </c>
      <c r="J30" s="205">
        <f>SUM([24]M01!J28*$B$14,[24]M02!J28*$C$14,[24]M03!J28*$D$14,[24]M04!J28*$E$14,[24]M05!J28*$F$14,[24]M06!J28*$G$14,[24]M07!J28*$H$14,[24]M08!J28*$I$14,[24]M09!J28*$J$14,[24]M10!J28*$K$14,[24]M11!J28*$L$14,[24]M12!J28*$M$14)/$N$14</f>
        <v>0.83041655518146096</v>
      </c>
      <c r="K30" s="206">
        <f>SUM([24]M01!K28*$B$14,[24]M02!K28*$C$14,[24]M03!K28*$D$14,[24]M04!K28*$E$14,[24]M05!K28*$F$14,[24]M06!K28*$G$14,[24]M07!K28*$H$14,[24]M08!K28*$I$14,[24]M09!K28*$J$14,[24]M10!K28*$K$14,[24]M11!K28*$L$14,[24]M12!K28*$M$14)/$N$14</f>
        <v>5.9371066036121932E-2</v>
      </c>
      <c r="L30" s="187"/>
      <c r="N30" s="198"/>
    </row>
    <row r="31" spans="1:14" ht="20.25" customHeight="1" x14ac:dyDescent="0.25">
      <c r="A31" s="186" t="s">
        <v>278</v>
      </c>
      <c r="L31" s="187"/>
      <c r="N31" s="198"/>
    </row>
    <row r="32" spans="1:14" ht="15" customHeight="1" x14ac:dyDescent="0.25">
      <c r="A32" s="207" t="s">
        <v>279</v>
      </c>
      <c r="B32" s="208">
        <f>SUM([24]M01!B30,[24]M02!B30,[24]M03!B30,[24]M04!B30,[24]M05!B30,[24]M06!B30,[24]M07!B30,[24]M08!B30,[24]M09!B30,[24]M10!B30,[24]M11!B30,[24]M12!B30)</f>
        <v>5.152877559532544</v>
      </c>
      <c r="L32" s="187"/>
      <c r="N32" s="198"/>
    </row>
    <row r="33" spans="1:14" ht="15" customHeight="1" x14ac:dyDescent="0.25">
      <c r="A33" s="209" t="s">
        <v>280</v>
      </c>
      <c r="B33" s="210">
        <f>SUM([24]M01!B31,[24]M02!B31,[24]M03!B31,[24]M04!B31,[24]M05!B31,[24]M06!B31,[24]M07!B31,[24]M08!B31,[24]M09!B31,[24]M10!B31,[24]M11!B31,[24]M12!B31)</f>
        <v>3.9088783401241742</v>
      </c>
      <c r="L33" s="187"/>
      <c r="N33" s="198"/>
    </row>
    <row r="34" spans="1:14" ht="20.25" hidden="1" customHeight="1" x14ac:dyDescent="0.25">
      <c r="A34" s="186" t="s">
        <v>281</v>
      </c>
      <c r="L34" s="187"/>
      <c r="N34" s="198"/>
    </row>
    <row r="35" spans="1:14" ht="15" hidden="1" customHeight="1" x14ac:dyDescent="0.25">
      <c r="A35" s="207" t="s">
        <v>279</v>
      </c>
      <c r="B35" s="208" t="e">
        <f>SUM([24]M01!#REF!,[24]M02!#REF!,[24]M03!#REF!,[24]M04!#REF!,[24]M05!#REF!,[24]M06!#REF!,[24]M07!#REF!,[24]M08!#REF!,[24]M09!#REF!,[24]M10!#REF!,[24]M11!#REF!,[24]M12!#REF!)</f>
        <v>#REF!</v>
      </c>
      <c r="L35" s="187"/>
      <c r="N35" s="198"/>
    </row>
    <row r="36" spans="1:14" ht="15" hidden="1" customHeight="1" x14ac:dyDescent="0.25">
      <c r="A36" s="209" t="s">
        <v>280</v>
      </c>
      <c r="B36" s="210" t="e">
        <f>SUM([24]M01!#REF!,[24]M02!#REF!,[24]M03!#REF!,[24]M04!#REF!,[24]M05!#REF!,[24]M06!#REF!,[24]M07!#REF!,[24]M08!#REF!,[24]M09!#REF!,[24]M10!#REF!,[24]M11!#REF!,[24]M12!#REF!)</f>
        <v>#REF!</v>
      </c>
      <c r="L36" s="187"/>
      <c r="N36" s="198"/>
    </row>
    <row r="37" spans="1:14" ht="20.25" customHeight="1" x14ac:dyDescent="0.25">
      <c r="A37" s="186" t="s">
        <v>282</v>
      </c>
      <c r="L37" s="187"/>
      <c r="N37" s="198"/>
    </row>
    <row r="38" spans="1:14" ht="15" customHeight="1" x14ac:dyDescent="0.25">
      <c r="A38" s="211" t="s">
        <v>277</v>
      </c>
      <c r="B38" s="212">
        <f>SUM([24]M01!B33*$B$14,[24]M02!B33*$C$14,[24]M03!B33*$D$14,[24]M04!B33*$E$14,[24]M05!B33*$F$14,[24]M06!B33*$G$14,[24]M07!B33*$H$14,[24]M08!B33*$I$14,[24]M09!B33*$J$14,[24]M10!B33*$K$14,[24]M11!B33*$L$14,[24]M12!B33*$M$14)/$N$14</f>
        <v>0</v>
      </c>
      <c r="C38" s="213">
        <f>SUM([24]M01!C33*$B$14,[24]M02!C33*$C$14,[24]M03!C33*$D$14,[24]M04!C33*$E$14,[24]M05!C33*$F$14,[24]M06!C33*$G$14,[24]M07!C33*$H$14,[24]M08!C33*$I$14,[24]M09!C33*$J$14,[24]M10!C33*$K$14,[24]M11!C33*$L$14,[24]M12!C33*$M$14)/$N$14</f>
        <v>0</v>
      </c>
      <c r="D38" s="213">
        <f>SUM([24]M01!D33*$B$14,[24]M02!D33*$C$14,[24]M03!D33*$D$14,[24]M04!D33*$E$14,[24]M05!D33*$F$14,[24]M06!D33*$G$14,[24]M07!D33*$H$14,[24]M08!D33*$I$14,[24]M09!D33*$J$14,[24]M10!D33*$K$14,[24]M11!D33*$L$14,[24]M12!D33*$M$14)/$N$14</f>
        <v>0</v>
      </c>
      <c r="E38" s="213">
        <f>SUM([24]M01!E33*$B$14,[24]M02!E33*$C$14,[24]M03!E33*$D$14,[24]M04!E33*$E$14,[24]M05!E33*$F$14,[24]M06!E33*$G$14,[24]M07!E33*$H$14,[24]M08!E33*$I$14,[24]M09!E33*$J$14,[24]M10!E33*$K$14,[24]M11!E33*$L$14,[24]M12!E33*$M$14)/$N$14</f>
        <v>0</v>
      </c>
      <c r="F38" s="213">
        <f>SUM([24]M01!F33*$B$14,[24]M02!F33*$C$14,[24]M03!F33*$D$14,[24]M04!F33*$E$14,[24]M05!F33*$F$14,[24]M06!F33*$G$14,[24]M07!F33*$H$14,[24]M08!F33*$I$14,[24]M09!F33*$J$14,[24]M10!F33*$K$14,[24]M11!F33*$L$14,[24]M12!F33*$M$14)/$N$14</f>
        <v>0.58145841872236526</v>
      </c>
      <c r="G38" s="213">
        <f>SUM([24]M01!G33*$B$14,[24]M02!G33*$C$14,[24]M03!G33*$D$14,[24]M04!G33*$E$14,[24]M05!G33*$F$14,[24]M06!G33*$G$14,[24]M07!G33*$H$14,[24]M08!G33*$I$14,[24]M09!G33*$J$14,[24]M10!G33*$K$14,[24]M11!G33*$L$14,[24]M12!G33*$M$14)/$N$14</f>
        <v>1.5985843669357076</v>
      </c>
      <c r="H38" s="213">
        <f>SUM([24]M01!H33*$B$14,[24]M02!H33*$C$14,[24]M03!H33*$D$14,[24]M04!H33*$E$14,[24]M05!H33*$F$14,[24]M06!H33*$G$14,[24]M07!H33*$H$14,[24]M08!H33*$I$14,[24]M09!H33*$J$14,[24]M10!H33*$K$14,[24]M11!H33*$L$14,[24]M12!H33*$M$14)/$N$14</f>
        <v>1.3136005397071795</v>
      </c>
      <c r="I38" s="213">
        <f>SUM([24]M01!I33*$B$14,[24]M02!I33*$C$14,[24]M03!I33*$D$14,[24]M04!I33*$E$14,[24]M05!I33*$F$14,[24]M06!I33*$G$14,[24]M07!I33*$H$14,[24]M08!I33*$I$14,[24]M09!I33*$J$14,[24]M10!I33*$K$14,[24]M11!I33*$L$14,[24]M12!I33*$M$14)/$N$14</f>
        <v>0</v>
      </c>
      <c r="J38" s="213">
        <f>SUM([24]M01!J33*$B$14,[24]M02!J33*$C$14,[24]M03!J33*$D$14,[24]M04!J33*$E$14,[24]M05!J33*$F$14,[24]M06!J33*$G$14,[24]M07!J33*$H$14,[24]M08!J33*$I$14,[24]M09!J33*$J$14,[24]M10!J33*$K$14,[24]M11!J33*$L$14,[24]M12!J33*$M$14)/$N$14</f>
        <v>1.0629163977549931</v>
      </c>
      <c r="K38" s="214">
        <f>SUM([24]M01!K33*$B$14,[24]M02!K33*$C$14,[24]M03!K33*$D$14,[24]M04!K33*$E$14,[24]M05!K33*$F$14,[24]M06!K33*$G$14,[24]M07!K33*$H$14,[24]M08!K33*$I$14,[24]M09!K33*$J$14,[24]M10!K33*$K$14,[24]M11!K33*$L$14,[24]M12!K33*$M$14)/$N$14</f>
        <v>0</v>
      </c>
      <c r="L38" s="187"/>
      <c r="N38" s="198"/>
    </row>
    <row r="39" spans="1:14" ht="20.25" customHeight="1" x14ac:dyDescent="0.25">
      <c r="A39" s="186" t="s">
        <v>283</v>
      </c>
      <c r="L39" s="187"/>
      <c r="N39" s="198"/>
    </row>
    <row r="40" spans="1:14" ht="15" customHeight="1" x14ac:dyDescent="0.25">
      <c r="A40" s="209" t="s">
        <v>280</v>
      </c>
      <c r="B40" s="210">
        <f>SUM([24]M01!I34,[24]M02!I34,[24]M03!I34,[24]M04!I34,[24]M05!I34,[24]M06!I34,[24]M07!I34,[24]M08!I34,[24]M09!I34,[24]M10!I34,[24]M11!I34,[24]M12!I34)</f>
        <v>10.928304017143576</v>
      </c>
      <c r="L40" s="187"/>
      <c r="N40" s="198"/>
    </row>
    <row r="41" spans="1:14" ht="9.9499999999999993" customHeight="1" x14ac:dyDescent="0.25">
      <c r="L41" s="187"/>
      <c r="N41" s="198"/>
    </row>
    <row r="42" spans="1:14" ht="9.9499999999999993" customHeight="1" thickBot="1" x14ac:dyDescent="0.3">
      <c r="L42" s="187"/>
      <c r="N42" s="198"/>
    </row>
    <row r="43" spans="1:14" ht="20.25" customHeight="1" thickTop="1" x14ac:dyDescent="0.25">
      <c r="A43" s="215" t="s">
        <v>284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7"/>
      <c r="L43" s="218"/>
      <c r="N43" s="198"/>
    </row>
    <row r="44" spans="1:14" ht="15" customHeight="1" x14ac:dyDescent="0.25">
      <c r="A44" s="219" t="s">
        <v>218</v>
      </c>
      <c r="B44" s="220">
        <f>IFERROR(B54/B25,0)</f>
        <v>1.7309077752506925</v>
      </c>
      <c r="C44" s="221">
        <f t="shared" ref="C44:K44" si="0">IFERROR(C54/C25,0)</f>
        <v>2.1904140156940701</v>
      </c>
      <c r="D44" s="221">
        <f t="shared" si="0"/>
        <v>1.9808883275884344</v>
      </c>
      <c r="E44" s="221">
        <f t="shared" si="0"/>
        <v>1.6805274543981108</v>
      </c>
      <c r="F44" s="221">
        <f t="shared" si="0"/>
        <v>1.2433349604048356</v>
      </c>
      <c r="G44" s="221">
        <f t="shared" si="0"/>
        <v>0.350116799867358</v>
      </c>
      <c r="H44" s="221">
        <f t="shared" si="0"/>
        <v>0.20065884590481006</v>
      </c>
      <c r="I44" s="221">
        <f t="shared" si="0"/>
        <v>0.96337209324925277</v>
      </c>
      <c r="J44" s="221">
        <f t="shared" si="0"/>
        <v>0.39477929340886547</v>
      </c>
      <c r="K44" s="222">
        <f t="shared" si="0"/>
        <v>2.7895725012058663</v>
      </c>
      <c r="L44" s="218"/>
      <c r="N44" s="198"/>
    </row>
    <row r="45" spans="1:14" ht="15" customHeight="1" x14ac:dyDescent="0.25">
      <c r="A45" s="223" t="s">
        <v>277</v>
      </c>
      <c r="B45" s="224">
        <f t="shared" ref="B45:K45" si="1">IFERROR(B55/B26,0)</f>
        <v>0</v>
      </c>
      <c r="C45" s="224">
        <f t="shared" si="1"/>
        <v>0</v>
      </c>
      <c r="D45" s="224">
        <f t="shared" si="1"/>
        <v>0</v>
      </c>
      <c r="E45" s="224">
        <f t="shared" si="1"/>
        <v>0.32483615063104865</v>
      </c>
      <c r="F45" s="224">
        <f t="shared" si="1"/>
        <v>0.56543506472605176</v>
      </c>
      <c r="G45" s="224">
        <f t="shared" si="1"/>
        <v>0.84288715224755539</v>
      </c>
      <c r="H45" s="224">
        <f t="shared" si="1"/>
        <v>0.81392131013620228</v>
      </c>
      <c r="I45" s="224">
        <f t="shared" si="1"/>
        <v>0</v>
      </c>
      <c r="J45" s="224">
        <f t="shared" si="1"/>
        <v>0.7763251457936523</v>
      </c>
      <c r="K45" s="225">
        <f t="shared" si="1"/>
        <v>6.4477251058596682E-2</v>
      </c>
      <c r="L45" s="218"/>
      <c r="N45" s="198"/>
    </row>
    <row r="46" spans="1:14" ht="20.25" customHeight="1" x14ac:dyDescent="0.2">
      <c r="A46" s="226" t="s">
        <v>285</v>
      </c>
      <c r="B46" s="227"/>
      <c r="C46" s="227"/>
      <c r="D46" s="227"/>
      <c r="E46" s="227"/>
      <c r="F46" s="227"/>
      <c r="G46" s="227"/>
      <c r="H46" s="227"/>
      <c r="I46" s="228"/>
      <c r="J46" s="228"/>
      <c r="K46" s="229"/>
      <c r="L46" s="218"/>
      <c r="N46" s="230"/>
    </row>
    <row r="47" spans="1:14" ht="15" customHeight="1" x14ac:dyDescent="0.25">
      <c r="A47" s="231" t="s">
        <v>279</v>
      </c>
      <c r="B47" s="232">
        <f>B32</f>
        <v>5.152877559532544</v>
      </c>
      <c r="C47" s="233"/>
      <c r="D47" s="233"/>
      <c r="E47" s="228"/>
      <c r="F47" s="228"/>
      <c r="G47" s="228"/>
      <c r="H47" s="227"/>
      <c r="I47" s="228"/>
      <c r="J47" s="228"/>
      <c r="K47" s="229"/>
      <c r="L47" s="218"/>
      <c r="N47" s="234"/>
    </row>
    <row r="48" spans="1:14" ht="15" customHeight="1" x14ac:dyDescent="0.25">
      <c r="A48" s="235" t="s">
        <v>280</v>
      </c>
      <c r="B48" s="236">
        <f>B33+B40</f>
        <v>14.83718235726775</v>
      </c>
      <c r="C48" s="233"/>
      <c r="D48" s="233"/>
      <c r="E48" s="228"/>
      <c r="F48" s="228"/>
      <c r="G48" s="228"/>
      <c r="H48" s="227"/>
      <c r="I48" s="228"/>
      <c r="J48" s="228"/>
      <c r="K48" s="229"/>
      <c r="L48" s="218"/>
      <c r="N48" s="234"/>
    </row>
    <row r="49" spans="1:14" ht="9.9499999999999993" customHeight="1" thickBot="1" x14ac:dyDescent="0.3">
      <c r="A49" s="237"/>
      <c r="B49" s="238"/>
      <c r="C49" s="239"/>
      <c r="D49" s="239"/>
      <c r="E49" s="239"/>
      <c r="F49" s="239"/>
      <c r="G49" s="239"/>
      <c r="H49" s="239"/>
      <c r="I49" s="239"/>
      <c r="J49" s="239"/>
      <c r="K49" s="240"/>
      <c r="L49" s="218"/>
      <c r="N49" s="198"/>
    </row>
    <row r="50" spans="1:14" ht="9.9499999999999993" customHeight="1" thickTop="1" x14ac:dyDescent="0.25">
      <c r="B50" s="241"/>
      <c r="L50" s="187"/>
      <c r="N50" s="198"/>
    </row>
    <row r="51" spans="1:14" ht="20.25" customHeight="1" x14ac:dyDescent="0.25">
      <c r="A51" s="242" t="s">
        <v>286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4">
        <f>ROUND(SUM(L54:L55,L57:L58),3)</f>
        <v>57227.845999999998</v>
      </c>
      <c r="M51" s="244">
        <f>ROUND(B3,3)</f>
        <v>57227.845999999998</v>
      </c>
      <c r="N51" s="284"/>
    </row>
    <row r="52" spans="1:14" ht="20.25" customHeight="1" x14ac:dyDescent="0.25">
      <c r="A52" s="245" t="s">
        <v>287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197"/>
      <c r="M52" s="246">
        <f>M53+M56</f>
        <v>0.9999999992737697</v>
      </c>
      <c r="N52" s="198"/>
    </row>
    <row r="53" spans="1:14" ht="20.25" customHeight="1" x14ac:dyDescent="0.25">
      <c r="A53" s="247" t="s">
        <v>20</v>
      </c>
      <c r="B53" s="248">
        <v>1</v>
      </c>
      <c r="C53" s="249">
        <v>2</v>
      </c>
      <c r="D53" s="249">
        <v>3</v>
      </c>
      <c r="E53" s="249">
        <v>4</v>
      </c>
      <c r="F53" s="249">
        <v>5</v>
      </c>
      <c r="G53" s="249">
        <v>6</v>
      </c>
      <c r="H53" s="249">
        <v>7</v>
      </c>
      <c r="I53" s="249">
        <v>8</v>
      </c>
      <c r="J53" s="249">
        <v>9</v>
      </c>
      <c r="K53" s="250">
        <v>10</v>
      </c>
      <c r="L53" s="251">
        <f>L54+L55</f>
        <v>29285.666893088379</v>
      </c>
      <c r="M53" s="246">
        <f>L53/$M$51</f>
        <v>0.51173806005363853</v>
      </c>
      <c r="N53" s="252"/>
    </row>
    <row r="54" spans="1:14" ht="15" customHeight="1" x14ac:dyDescent="0.25">
      <c r="A54" s="253" t="s">
        <v>218</v>
      </c>
      <c r="B54" s="254">
        <f>SUM([24]M01!B38,[24]M02!B38,[24]M03!B38,[24]M04!B38,[24]M05!B38,[24]M06!B38,[24]M07!B38,[24]M08!B38,[24]M09!B38,[24]M10!B38,[24]M11!B38,[24]M12!B38)</f>
        <v>1979.4655259589708</v>
      </c>
      <c r="C54" s="255">
        <f>SUM([24]M01!C38,[24]M02!C38,[24]M03!C38,[24]M04!C38,[24]M05!C38,[24]M06!C38,[24]M07!C38,[24]M08!C38,[24]M09!C38,[24]M10!C38,[24]M11!C38,[24]M12!C38)</f>
        <v>5480.2447959319379</v>
      </c>
      <c r="D54" s="255">
        <f>SUM([24]M01!D38,[24]M02!D38,[24]M03!D38,[24]M04!D38,[24]M05!D38,[24]M06!D38,[24]M07!D38,[24]M08!D38,[24]M09!D38,[24]M10!D38,[24]M11!D38,[24]M12!D38)</f>
        <v>1879.09443821032</v>
      </c>
      <c r="E54" s="255">
        <f>SUM([24]M01!E38,[24]M02!E38,[24]M03!E38,[24]M04!E38,[24]M05!E38,[24]M06!E38,[24]M07!E38,[24]M08!E38,[24]M09!E38,[24]M10!E38,[24]M11!E38,[24]M12!E38)</f>
        <v>4184.5758770725988</v>
      </c>
      <c r="F54" s="255">
        <f>SUM([24]M01!F38,[24]M02!F38,[24]M03!F38,[24]M04!F38,[24]M05!F38,[24]M06!F38,[24]M07!F38,[24]M08!F38,[24]M09!F38,[24]M10!F38,[24]M11!F38,[24]M12!F38)</f>
        <v>1594.8326542203129</v>
      </c>
      <c r="G54" s="255">
        <f>SUM([24]M01!G38,[24]M02!G38,[24]M03!G38,[24]M04!G38,[24]M05!G38,[24]M06!G38,[24]M07!G38,[24]M08!G38,[24]M09!G38,[24]M10!G38,[24]M11!G38,[24]M12!G38)</f>
        <v>51.16615666181567</v>
      </c>
      <c r="H54" s="255">
        <f>SUM([24]M01!H38,[24]M02!H38,[24]M03!H38,[24]M04!H38,[24]M05!H38,[24]M06!H38,[24]M07!H38,[24]M08!H38,[24]M09!H38,[24]M10!H38,[24]M11!H38,[24]M12!H38)</f>
        <v>3.2290723788962703</v>
      </c>
      <c r="I54" s="255">
        <f>SUM([24]M01!I38,[24]M02!I38,[24]M03!I38,[24]M04!I38,[24]M05!I38,[24]M06!I38,[24]M07!I38,[24]M08!I38,[24]M09!I38,[24]M10!I38,[24]M11!I38,[24]M12!I38)</f>
        <v>163.65765120118306</v>
      </c>
      <c r="J54" s="255">
        <f>SUM([24]M01!J38,[24]M02!J38,[24]M03!J38,[24]M04!J38,[24]M05!J38,[24]M06!J38,[24]M07!J38,[24]M08!J38,[24]M09!J38,[24]M10!J38,[24]M11!J38,[24]M12!J38)</f>
        <v>679.69006851762276</v>
      </c>
      <c r="K54" s="256">
        <f>SUM([24]M01!K38,[24]M02!K38,[24]M03!K38,[24]M04!K38,[24]M05!K38,[24]M06!K38,[24]M07!K38,[24]M08!K38,[24]M09!K38,[24]M10!K38,[24]M11!K38,[24]M12!K38)</f>
        <v>4484.0105850082064</v>
      </c>
      <c r="L54" s="257">
        <f>SUM(B54:K54)</f>
        <v>20499.966825161864</v>
      </c>
      <c r="M54" s="258">
        <f>L54/(L55+L54)</f>
        <v>0.7</v>
      </c>
      <c r="N54" s="259"/>
    </row>
    <row r="55" spans="1:14" ht="15" customHeight="1" x14ac:dyDescent="0.25">
      <c r="A55" s="260" t="s">
        <v>277</v>
      </c>
      <c r="B55" s="261">
        <f>SUM([24]M01!B39,[24]M02!B39,[24]M03!B39,[24]M04!B39,[24]M05!B39,[24]M06!B39,[24]M07!B39,[24]M08!B39,[24]M09!B39,[24]M10!B39,[24]M11!B39,[24]M12!B39)</f>
        <v>0</v>
      </c>
      <c r="C55" s="262">
        <f>SUM([24]M01!C39,[24]M02!C39,[24]M03!C39,[24]M04!C39,[24]M05!C39,[24]M06!C39,[24]M07!C39,[24]M08!C39,[24]M09!C39,[24]M10!C39,[24]M11!C39,[24]M12!C39)</f>
        <v>0</v>
      </c>
      <c r="D55" s="262">
        <f>SUM([24]M01!D39,[24]M02!D39,[24]M03!D39,[24]M04!D39,[24]M05!D39,[24]M06!D39,[24]M07!D39,[24]M08!D39,[24]M09!D39,[24]M10!D39,[24]M11!D39,[24]M12!D39)</f>
        <v>0</v>
      </c>
      <c r="E55" s="262">
        <f>SUM([24]M01!E39,[24]M02!E39,[24]M03!E39,[24]M04!E39,[24]M05!E39,[24]M06!E39,[24]M07!E39,[24]M08!E39,[24]M09!E39,[24]M10!E39,[24]M11!E39,[24]M12!E39)</f>
        <v>182.16988363091303</v>
      </c>
      <c r="F55" s="262">
        <f>SUM([24]M01!F39,[24]M02!F39,[24]M03!F39,[24]M04!F39,[24]M05!F39,[24]M06!F39,[24]M07!F39,[24]M08!F39,[24]M09!F39,[24]M10!F39,[24]M11!F39,[24]M12!F39)</f>
        <v>807.27203771392954</v>
      </c>
      <c r="G55" s="262">
        <f>SUM([24]M01!G39,[24]M02!G39,[24]M03!G39,[24]M04!G39,[24]M05!G39,[24]M06!G39,[24]M07!G39,[24]M08!G39,[24]M09!G39,[24]M10!G39,[24]M11!G39,[24]M12!G39)</f>
        <v>1049.0503537239435</v>
      </c>
      <c r="H55" s="262">
        <f>SUM([24]M01!H39,[24]M02!H39,[24]M03!H39,[24]M04!H39,[24]M05!H39,[24]M06!H39,[24]M07!H39,[24]M08!H39,[24]M09!H39,[24]M10!H39,[24]M11!H39,[24]M12!H39)</f>
        <v>5961.5182077746613</v>
      </c>
      <c r="I55" s="262">
        <f>SUM([24]M01!I39,[24]M02!I39,[24]M03!I39,[24]M04!I39,[24]M05!I39,[24]M06!I39,[24]M07!I39,[24]M08!I39,[24]M09!I39,[24]M10!I39,[24]M11!I39,[24]M12!I39)</f>
        <v>0</v>
      </c>
      <c r="J55" s="262">
        <f>SUM([24]M01!J39,[24]M02!J39,[24]M03!J39,[24]M04!J39,[24]M05!J39,[24]M06!J39,[24]M07!J39,[24]M08!J39,[24]M09!J39,[24]M10!J39,[24]M11!J39,[24]M12!J39)</f>
        <v>774.83646469407836</v>
      </c>
      <c r="K55" s="263">
        <f>SUM([24]M01!K39,[24]M02!K39,[24]M03!K39,[24]M04!K39,[24]M05!K39,[24]M06!K39,[24]M07!K39,[24]M08!K39,[24]M09!K39,[24]M10!K39,[24]M11!K39,[24]M12!K39)</f>
        <v>10.853120388988076</v>
      </c>
      <c r="L55" s="264">
        <f>SUM(B55:K55)</f>
        <v>8785.7000679265147</v>
      </c>
      <c r="M55" s="265">
        <f>L55/(L54+L55)</f>
        <v>0.30000000000000004</v>
      </c>
      <c r="N55" s="140"/>
    </row>
    <row r="56" spans="1:14" ht="20.25" customHeight="1" x14ac:dyDescent="0.25">
      <c r="A56" s="245" t="s">
        <v>288</v>
      </c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51">
        <f>L57+L58</f>
        <v>27942.179065351025</v>
      </c>
      <c r="M56" s="246">
        <f>L56/$M$51</f>
        <v>0.48826193922013117</v>
      </c>
      <c r="N56" s="252"/>
    </row>
    <row r="57" spans="1:14" ht="15" customHeight="1" x14ac:dyDescent="0.25">
      <c r="A57" s="253" t="s">
        <v>218</v>
      </c>
      <c r="B57" s="254">
        <f>SUM([24]M01!B41,[24]M02!B41,[24]M03!B41,[24]M04!B41,[24]M05!B41,[24]M06!B41,[24]M07!B41,[24]M08!B41,[24]M09!B41,[24]M10!B41,[24]M11!B41,[24]M12!B41)</f>
        <v>1649.2815204795816</v>
      </c>
      <c r="C57" s="255">
        <f>SUM([24]M01!C41,[24]M02!C41,[24]M03!C41,[24]M04!C41,[24]M05!C41,[24]M06!C41,[24]M07!C41,[24]M08!C41,[24]M09!C41,[24]M10!C41,[24]M11!C41,[24]M12!C41)</f>
        <v>2772.5323610761875</v>
      </c>
      <c r="D57" s="255">
        <f>SUM([24]M01!D41,[24]M02!D41,[24]M03!D41,[24]M04!D41,[24]M05!D41,[24]M06!D41,[24]M07!D41,[24]M08!D41,[24]M09!D41,[24]M10!D41,[24]M11!D41,[24]M12!D41)</f>
        <v>788.33873783288391</v>
      </c>
      <c r="E57" s="255">
        <f>SUM([24]M01!E41,[24]M02!E41,[24]M03!E41,[24]M04!E41,[24]M05!E41,[24]M06!E41,[24]M07!E41,[24]M08!E41,[24]M09!E41,[24]M10!E41,[24]M11!E41,[24]M12!E41)</f>
        <v>2115.410824514895</v>
      </c>
      <c r="F57" s="255">
        <f>SUM([24]M01!F41,[24]M02!F41,[24]M03!F41,[24]M04!F41,[24]M05!F41,[24]M06!F41,[24]M07!F41,[24]M08!F41,[24]M09!F41,[24]M10!F41,[24]M11!F41,[24]M12!F41)</f>
        <v>4201.914005920813</v>
      </c>
      <c r="G57" s="255">
        <f>SUM([24]M01!G41,[24]M02!G41,[24]M03!G41,[24]M04!G41,[24]M05!G41,[24]M06!G41,[24]M07!G41,[24]M08!G41,[24]M09!G41,[24]M10!G41,[24]M11!G41,[24]M12!G41)</f>
        <v>757.47300125128379</v>
      </c>
      <c r="H57" s="255">
        <f>SUM([24]M01!H41,[24]M02!H41,[24]M03!H41,[24]M04!H41,[24]M05!H41,[24]M06!H41,[24]M07!H41,[24]M08!H41,[24]M09!H41,[24]M10!H41,[24]M11!H41,[24]M12!H41)</f>
        <v>821.00798156032022</v>
      </c>
      <c r="I57" s="255">
        <f>SUM([24]M01!I41,[24]M02!I41,[24]M03!I41,[24]M04!I41,[24]M05!I41,[24]M06!I41,[24]M07!I41,[24]M08!I41,[24]M09!I41,[24]M10!I41,[24]M11!I41,[24]M12!I41)</f>
        <v>1339.7481654784617</v>
      </c>
      <c r="J57" s="255">
        <f>SUM([24]M01!J41,[24]M02!J41,[24]M03!J41,[24]M04!J41,[24]M05!J41,[24]M06!J41,[24]M07!J41,[24]M08!J41,[24]M09!J41,[24]M10!J41,[24]M11!J41,[24]M12!J41)</f>
        <v>3814.4176134439658</v>
      </c>
      <c r="K57" s="256">
        <f>SUM([24]M01!K41,[24]M02!K41,[24]M03!K41,[24]M04!K41,[24]M05!K41,[24]M06!K41,[24]M07!K41,[24]M08!K41,[24]M09!K41,[24]M10!K41,[24]M11!K41,[24]M12!K41)</f>
        <v>1299.4011341873213</v>
      </c>
      <c r="L57" s="257">
        <f>SUM(B57:K57)</f>
        <v>19559.525345745718</v>
      </c>
      <c r="M57" s="258">
        <f>L57/(L58+L57)</f>
        <v>0.70000000000000007</v>
      </c>
      <c r="N57" s="259"/>
    </row>
    <row r="58" spans="1:14" ht="15" customHeight="1" x14ac:dyDescent="0.25">
      <c r="A58" s="260" t="s">
        <v>277</v>
      </c>
      <c r="B58" s="261">
        <f>SUM([24]M01!B42,[24]M02!B42,[24]M03!B42,[24]M04!B42,[24]M05!B42,[24]M06!B42,[24]M07!B42,[24]M08!B42,[24]M09!B42,[24]M10!B42,[24]M11!B42,[24]M12!B42)</f>
        <v>78.740233355641621</v>
      </c>
      <c r="C58" s="262">
        <f>SUM([24]M01!C42,[24]M02!C42,[24]M03!C42,[24]M04!C42,[24]M05!C42,[24]M06!C42,[24]M07!C42,[24]M08!C42,[24]M09!C42,[24]M10!C42,[24]M11!C42,[24]M12!C42)</f>
        <v>0</v>
      </c>
      <c r="D58" s="262">
        <f>SUM([24]M01!D42,[24]M02!D42,[24]M03!D42,[24]M04!D42,[24]M05!D42,[24]M06!D42,[24]M07!D42,[24]M08!D42,[24]M09!D42,[24]M10!D42,[24]M11!D42,[24]M12!D42)</f>
        <v>0.36166844436247614</v>
      </c>
      <c r="E58" s="262">
        <f>SUM([24]M01!E42,[24]M02!E42,[24]M03!E42,[24]M04!E42,[24]M05!E42,[24]M06!E42,[24]M07!E42,[24]M08!E42,[24]M09!E42,[24]M10!E42,[24]M11!E42,[24]M12!E42)</f>
        <v>467.03756474724156</v>
      </c>
      <c r="F58" s="262">
        <f>SUM([24]M01!F42,[24]M02!F42,[24]M03!F42,[24]M04!F42,[24]M05!F42,[24]M06!F42,[24]M07!F42,[24]M08!F42,[24]M09!F42,[24]M10!F42,[24]M11!F42,[24]M12!F42)</f>
        <v>1633.4055750761177</v>
      </c>
      <c r="G58" s="262">
        <f>SUM([24]M01!G42,[24]M02!G42,[24]M03!G42,[24]M04!G42,[24]M05!G42,[24]M06!G42,[24]M07!G42,[24]M08!G42,[24]M09!G42,[24]M10!G42,[24]M11!G42,[24]M12!G42)</f>
        <v>778.56621831570351</v>
      </c>
      <c r="H58" s="262">
        <f>SUM([24]M01!H42,[24]M02!H42,[24]M03!H42,[24]M04!H42,[24]M05!H42,[24]M06!H42,[24]M07!H42,[24]M08!H42,[24]M09!H42,[24]M10!H42,[24]M11!H42,[24]M12!H42)</f>
        <v>4534.0564858741927</v>
      </c>
      <c r="I58" s="262">
        <f>SUM([24]M01!I42,[24]M02!I42,[24]M03!I42,[24]M04!I42,[24]M05!I42,[24]M06!I42,[24]M07!I42,[24]M08!I42,[24]M09!I42,[24]M10!I42,[24]M11!I42,[24]M12!I42)</f>
        <v>5.1988081923651528</v>
      </c>
      <c r="J58" s="262">
        <f>SUM([24]M01!J42,[24]M02!J42,[24]M03!J42,[24]M04!J42,[24]M05!J42,[24]M06!J42,[24]M07!J42,[24]M08!J42,[24]M09!J42,[24]M10!J42,[24]M11!J42,[24]M12!J42)</f>
        <v>600.91186722728935</v>
      </c>
      <c r="K58" s="263">
        <f>SUM([24]M01!K42,[24]M02!K42,[24]M03!K42,[24]M04!K42,[24]M05!K42,[24]M06!K42,[24]M07!K42,[24]M08!K42,[24]M09!K42,[24]M10!K42,[24]M11!K42,[24]M12!K42)</f>
        <v>284.37529837239089</v>
      </c>
      <c r="L58" s="264">
        <f>SUM(B58:K58)</f>
        <v>8382.6537196053068</v>
      </c>
      <c r="M58" s="265">
        <f>L58/(L57+L58)</f>
        <v>0.3</v>
      </c>
      <c r="N58" s="198"/>
    </row>
    <row r="59" spans="1:14" ht="20.25" customHeight="1" x14ac:dyDescent="0.25">
      <c r="A59" s="245" t="s">
        <v>289</v>
      </c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51">
        <f>L60+L61</f>
        <v>36690.579958236805</v>
      </c>
      <c r="M59" s="246">
        <f>IFERROR(L59/B7,0)</f>
        <v>1.0000000000000002</v>
      </c>
      <c r="N59" s="198"/>
    </row>
    <row r="60" spans="1:14" ht="15" customHeight="1" x14ac:dyDescent="0.25">
      <c r="A60" s="253" t="s">
        <v>290</v>
      </c>
      <c r="B60" s="254">
        <f>SUM([24]M01!B44,[24]M02!B44,[24]M03!B44,[24]M04!B44,[24]M05!B44,[24]M06!B44,[24]M07!B44,[24]M08!B44,[24]M09!B44,[24]M10!B44,[24]M11!B44,[24]M12!B44)</f>
        <v>0</v>
      </c>
      <c r="C60" s="255">
        <f>SUM([24]M01!C44,[24]M02!C44,[24]M03!C44,[24]M04!C44,[24]M05!C44,[24]M06!C44,[24]M07!C44,[24]M08!C44,[24]M09!C44,[24]M10!C44,[24]M11!C44,[24]M12!C44)</f>
        <v>0</v>
      </c>
      <c r="D60" s="255">
        <f>SUM([24]M01!D44,[24]M02!D44,[24]M03!D44,[24]M04!D44,[24]M05!D44,[24]M06!D44,[24]M07!D44,[24]M08!D44,[24]M09!D44,[24]M10!D44,[24]M11!D44,[24]M12!D44)</f>
        <v>0</v>
      </c>
      <c r="E60" s="255">
        <f>SUM([24]M01!E44,[24]M02!E44,[24]M03!E44,[24]M04!E44,[24]M05!E44,[24]M06!E44,[24]M07!E44,[24]M08!E44,[24]M09!E44,[24]M10!E44,[24]M11!E44,[24]M12!E44)</f>
        <v>0</v>
      </c>
      <c r="F60" s="255">
        <f>SUM([24]M01!F44,[24]M02!F44,[24]M03!F44,[24]M04!F44,[24]M05!F44,[24]M06!F44,[24]M07!F44,[24]M08!F44,[24]M09!F44,[24]M10!F44,[24]M11!F44,[24]M12!F44)</f>
        <v>858.15427424201403</v>
      </c>
      <c r="G60" s="255">
        <f>SUM([24]M01!G44,[24]M02!G44,[24]M03!G44,[24]M04!G44,[24]M05!G44,[24]M06!G44,[24]M07!G44,[24]M08!G44,[24]M09!G44,[24]M10!G44,[24]M11!G44,[24]M12!G44)</f>
        <v>1978.1964950464389</v>
      </c>
      <c r="H60" s="255">
        <f>SUM([24]M01!H44,[24]M02!H44,[24]M03!H44,[24]M04!H44,[24]M05!H44,[24]M06!H44,[24]M07!H44,[24]M08!H44,[24]M09!H44,[24]M10!H44,[24]M11!H44,[24]M12!H44)</f>
        <v>9441.9508739554767</v>
      </c>
      <c r="I60" s="255">
        <f>SUM([24]M01!I44,[24]M02!I44,[24]M03!I44,[24]M04!I44,[24]M05!I44,[24]M06!I44,[24]M07!I44,[24]M08!I44,[24]M09!I44,[24]M10!I44,[24]M11!I44,[24]M12!I44)</f>
        <v>0</v>
      </c>
      <c r="J60" s="255">
        <f>SUM([24]M01!J44,[24]M02!J44,[24]M03!J44,[24]M04!J44,[24]M05!J44,[24]M06!J44,[24]M07!J44,[24]M08!J44,[24]M09!J44,[24]M10!J44,[24]M11!J44,[24]M12!J44)</f>
        <v>976.35108800835576</v>
      </c>
      <c r="K60" s="256">
        <f>SUM([24]M01!K44,[24]M02!K44,[24]M03!K44,[24]M04!K44,[24]M05!K44,[24]M06!K44,[24]M07!K44,[24]M08!K44,[24]M09!K44,[24]M10!K44,[24]M11!K44,[24]M12!K44)</f>
        <v>0</v>
      </c>
      <c r="L60" s="257">
        <f>SUM(B60:K60)</f>
        <v>13254.652731252285</v>
      </c>
      <c r="M60" s="258">
        <f>L60/(L61+L60)</f>
        <v>0.36125492555144795</v>
      </c>
      <c r="N60" s="198"/>
    </row>
    <row r="61" spans="1:14" ht="15" customHeight="1" x14ac:dyDescent="0.25">
      <c r="A61" s="260" t="s">
        <v>291</v>
      </c>
      <c r="B61" s="261">
        <f>SUM([24]M01!B45,[24]M02!B45,[24]M03!B45,[24]M04!B45,[24]M05!B45,[24]M06!B45,[24]M07!B45,[24]M08!B45,[24]M09!B45,[24]M10!B45,[24]M11!B45,[24]M12!B45)</f>
        <v>220.13916362102623</v>
      </c>
      <c r="C61" s="262">
        <f>SUM([24]M01!C45,[24]M02!C45,[24]M03!C45,[24]M04!C45,[24]M05!C45,[24]M06!C45,[24]M07!C45,[24]M08!C45,[24]M09!C45,[24]M10!C45,[24]M11!C45,[24]M12!C45)</f>
        <v>0</v>
      </c>
      <c r="D61" s="262">
        <f>SUM([24]M01!D45,[24]M02!D45,[24]M03!D45,[24]M04!D45,[24]M05!D45,[24]M06!D45,[24]M07!D45,[24]M08!D45,[24]M09!D45,[24]M10!D45,[24]M11!D45,[24]M12!D45)</f>
        <v>1.0111398640447218</v>
      </c>
      <c r="E61" s="262">
        <f>SUM([24]M01!E45,[24]M02!E45,[24]M03!E45,[24]M04!E45,[24]M05!E45,[24]M06!E45,[24]M07!E45,[24]M08!E45,[24]M09!E45,[24]M10!E45,[24]M11!E45,[24]M12!E45)</f>
        <v>1305.7271295944438</v>
      </c>
      <c r="F61" s="262">
        <f>SUM([24]M01!F45,[24]M02!F45,[24]M03!F45,[24]M04!F45,[24]M05!F45,[24]M06!F45,[24]M07!F45,[24]M08!F45,[24]M09!F45,[24]M10!F45,[24]M11!F45,[24]M12!F45)</f>
        <v>4566.617621351189</v>
      </c>
      <c r="G61" s="262">
        <f>SUM([24]M01!G45,[24]M02!G45,[24]M03!G45,[24]M04!G45,[24]M05!G45,[24]M06!G45,[24]M07!G45,[24]M08!G45,[24]M09!G45,[24]M10!G45,[24]M11!G45,[24]M12!G45)</f>
        <v>2176.6879372770386</v>
      </c>
      <c r="H61" s="262">
        <f>SUM([24]M01!H45,[24]M02!H45,[24]M03!H45,[24]M04!H45,[24]M05!H45,[24]M06!H45,[24]M07!H45,[24]M08!H45,[24]M09!H45,[24]M10!H45,[24]M11!H45,[24]M12!H45)</f>
        <v>12676.154998203592</v>
      </c>
      <c r="I61" s="262">
        <f>SUM([24]M01!I45,[24]M02!I45,[24]M03!I45,[24]M04!I45,[24]M05!I45,[24]M06!I45,[24]M07!I45,[24]M08!I45,[24]M09!I45,[24]M10!I45,[24]M11!I45,[24]M12!I45)</f>
        <v>14.534644342800954</v>
      </c>
      <c r="J61" s="262">
        <f>SUM([24]M01!J45,[24]M02!J45,[24]M03!J45,[24]M04!J45,[24]M05!J45,[24]M06!J45,[24]M07!J45,[24]M08!J45,[24]M09!J45,[24]M10!J45,[24]M11!J45,[24]M12!J45)</f>
        <v>1680.0081765554819</v>
      </c>
      <c r="K61" s="263">
        <f>SUM([24]M01!K45,[24]M02!K45,[24]M03!K45,[24]M04!K45,[24]M05!K45,[24]M06!K45,[24]M07!K45,[24]M08!K45,[24]M09!K45,[24]M10!K45,[24]M11!K45,[24]M12!K45)</f>
        <v>795.04641617489619</v>
      </c>
      <c r="L61" s="264">
        <f>SUM(B61:K61)</f>
        <v>23435.927226984517</v>
      </c>
      <c r="M61" s="265">
        <f>L61/(L60+L61)</f>
        <v>0.638745074448552</v>
      </c>
      <c r="N61" s="198"/>
    </row>
    <row r="62" spans="1:14" ht="20.25" hidden="1" customHeight="1" x14ac:dyDescent="0.25">
      <c r="A62" s="245" t="s">
        <v>292</v>
      </c>
      <c r="B62" s="266"/>
      <c r="C62" s="266"/>
      <c r="D62" s="266"/>
      <c r="E62" s="266"/>
      <c r="F62" s="266"/>
      <c r="G62" s="267">
        <f>SUM([24]M01!G46,[24]M02!G46,[24]M03!G46,[24]M04!G46,[24]M05!G46,[24]M06!G46,[24]M07!G46,[24]M08!G46,[24]M09!G46,[24]M10!G46,[24]M11!G46,[24]M12!G46)</f>
        <v>0</v>
      </c>
      <c r="H62" s="268">
        <f>G62/L51</f>
        <v>0</v>
      </c>
      <c r="I62" s="266"/>
      <c r="J62" s="266"/>
      <c r="K62" s="266"/>
      <c r="L62" s="244"/>
      <c r="N62" s="198"/>
    </row>
    <row r="63" spans="1:14" ht="15" customHeight="1" x14ac:dyDescent="0.25">
      <c r="A63" s="266"/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44"/>
      <c r="N63" s="198"/>
    </row>
    <row r="64" spans="1:14" ht="20.25" customHeight="1" x14ac:dyDescent="0.25">
      <c r="A64" s="269" t="s">
        <v>293</v>
      </c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51">
        <f>L65+L66</f>
        <v>93918.425916676206</v>
      </c>
      <c r="M64" s="271">
        <f>L64/(B3+B7)</f>
        <v>1</v>
      </c>
      <c r="N64" s="272"/>
    </row>
    <row r="65" spans="1:14" ht="15" customHeight="1" x14ac:dyDescent="0.25">
      <c r="A65" s="273" t="s">
        <v>218</v>
      </c>
      <c r="B65" s="274">
        <f>B54+B57</f>
        <v>3628.7470464385524</v>
      </c>
      <c r="C65" s="275">
        <f t="shared" ref="C65:K65" si="2">C54+C57</f>
        <v>8252.7771570081259</v>
      </c>
      <c r="D65" s="275">
        <f t="shared" si="2"/>
        <v>2667.4331760432042</v>
      </c>
      <c r="E65" s="275">
        <f t="shared" si="2"/>
        <v>6299.9867015874934</v>
      </c>
      <c r="F65" s="275">
        <f t="shared" si="2"/>
        <v>5796.7466601411261</v>
      </c>
      <c r="G65" s="275">
        <f t="shared" si="2"/>
        <v>808.63915791309944</v>
      </c>
      <c r="H65" s="275">
        <f t="shared" si="2"/>
        <v>824.23705393921648</v>
      </c>
      <c r="I65" s="275">
        <f t="shared" si="2"/>
        <v>1503.4058166796449</v>
      </c>
      <c r="J65" s="275">
        <f t="shared" si="2"/>
        <v>4494.1076819615882</v>
      </c>
      <c r="K65" s="276">
        <f t="shared" si="2"/>
        <v>5783.4117191955274</v>
      </c>
      <c r="L65" s="257">
        <f>SUM(B65:K65)</f>
        <v>40059.492170907579</v>
      </c>
      <c r="M65" s="258">
        <f>L65/(L66+L65)</f>
        <v>0.42653496137646185</v>
      </c>
      <c r="N65" s="272"/>
    </row>
    <row r="66" spans="1:14" ht="15" customHeight="1" x14ac:dyDescent="0.25">
      <c r="A66" s="277" t="s">
        <v>277</v>
      </c>
      <c r="B66" s="278">
        <f>B55+B58+B60+B61</f>
        <v>298.87939697666786</v>
      </c>
      <c r="C66" s="279">
        <f t="shared" ref="C66:K66" si="3">C55+C58+C60+C61</f>
        <v>0</v>
      </c>
      <c r="D66" s="279">
        <f t="shared" si="3"/>
        <v>1.372808308407198</v>
      </c>
      <c r="E66" s="279">
        <f t="shared" si="3"/>
        <v>1954.9345779725984</v>
      </c>
      <c r="F66" s="279">
        <f t="shared" si="3"/>
        <v>7865.4495083832498</v>
      </c>
      <c r="G66" s="279">
        <f t="shared" si="3"/>
        <v>5982.5010043631246</v>
      </c>
      <c r="H66" s="279">
        <f t="shared" si="3"/>
        <v>32613.680565807925</v>
      </c>
      <c r="I66" s="279">
        <f t="shared" si="3"/>
        <v>19.733452535166109</v>
      </c>
      <c r="J66" s="279">
        <f t="shared" si="3"/>
        <v>4032.1075964852052</v>
      </c>
      <c r="K66" s="280">
        <f t="shared" si="3"/>
        <v>1090.2748349362751</v>
      </c>
      <c r="L66" s="264">
        <f>SUM(B66:K66)</f>
        <v>53858.93374576862</v>
      </c>
      <c r="M66" s="265">
        <f>L66/(L65+L66)</f>
        <v>0.57346503862353804</v>
      </c>
      <c r="N66" s="272"/>
    </row>
    <row r="67" spans="1:14" ht="15" customHeight="1" x14ac:dyDescent="0.25">
      <c r="B67" s="268">
        <f>B65/$L$64</f>
        <v>3.8637221727480318E-2</v>
      </c>
      <c r="C67" s="268">
        <f t="shared" ref="C67:K67" si="4">C65/$L$64</f>
        <v>8.7871757607287132E-2</v>
      </c>
      <c r="D67" s="268">
        <f t="shared" si="4"/>
        <v>2.8401595853083536E-2</v>
      </c>
      <c r="E67" s="268">
        <f t="shared" si="4"/>
        <v>6.7079347211129792E-2</v>
      </c>
      <c r="F67" s="268">
        <f t="shared" si="4"/>
        <v>6.1721079794117936E-2</v>
      </c>
      <c r="G67" s="268">
        <f t="shared" si="4"/>
        <v>8.6100160859863498E-3</v>
      </c>
      <c r="H67" s="268">
        <f t="shared" si="4"/>
        <v>8.7760952751750124E-3</v>
      </c>
      <c r="I67" s="268">
        <f t="shared" si="4"/>
        <v>1.6007570420882654E-2</v>
      </c>
      <c r="J67" s="268">
        <f t="shared" si="4"/>
        <v>4.7851181896390919E-2</v>
      </c>
      <c r="K67" s="268">
        <f t="shared" si="4"/>
        <v>6.1579095504928197E-2</v>
      </c>
      <c r="N67" s="198"/>
    </row>
    <row r="68" spans="1:14" ht="15" customHeight="1" x14ac:dyDescent="0.25">
      <c r="B68" s="268">
        <f t="shared" ref="B68:K68" si="5">B66/$L$64</f>
        <v>3.1823297085689195E-3</v>
      </c>
      <c r="C68" s="268">
        <f t="shared" si="5"/>
        <v>0</v>
      </c>
      <c r="D68" s="268">
        <f t="shared" si="5"/>
        <v>1.461702850114997E-5</v>
      </c>
      <c r="E68" s="268">
        <f t="shared" si="5"/>
        <v>2.0815240022304071E-2</v>
      </c>
      <c r="F68" s="268">
        <f t="shared" si="5"/>
        <v>8.3747671786593009E-2</v>
      </c>
      <c r="G68" s="268">
        <f t="shared" si="5"/>
        <v>6.3698906215386944E-2</v>
      </c>
      <c r="H68" s="268">
        <f t="shared" si="5"/>
        <v>0.3472554000717874</v>
      </c>
      <c r="I68" s="268">
        <f t="shared" si="5"/>
        <v>2.1011268388030155E-4</v>
      </c>
      <c r="J68" s="268">
        <f t="shared" si="5"/>
        <v>4.2932018473802618E-2</v>
      </c>
      <c r="K68" s="268">
        <f t="shared" si="5"/>
        <v>1.1608742632713623E-2</v>
      </c>
      <c r="N68" s="198"/>
    </row>
    <row r="69" spans="1:14" ht="15" customHeight="1" x14ac:dyDescent="0.25"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2"/>
      <c r="M69" s="283"/>
    </row>
    <row r="70" spans="1:14" ht="15" customHeight="1" x14ac:dyDescent="0.25">
      <c r="B70" s="281"/>
      <c r="C70" s="281"/>
      <c r="D70" s="281"/>
      <c r="E70" s="281"/>
      <c r="F70" s="281"/>
      <c r="G70" s="281"/>
      <c r="H70" s="281"/>
      <c r="I70" s="281"/>
      <c r="J70" s="281"/>
      <c r="K70" s="281"/>
    </row>
    <row r="71" spans="1:14" ht="15" customHeight="1" x14ac:dyDescent="0.25"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2"/>
    </row>
    <row r="72" spans="1:14" ht="15" customHeight="1" x14ac:dyDescent="0.25">
      <c r="B72" s="281"/>
      <c r="C72" s="281"/>
      <c r="D72" s="281"/>
      <c r="E72" s="281"/>
      <c r="F72" s="281"/>
      <c r="G72" s="281"/>
      <c r="H72" s="281"/>
      <c r="I72" s="281"/>
      <c r="J72" s="281"/>
      <c r="K72" s="281"/>
      <c r="L72" s="282"/>
    </row>
  </sheetData>
  <conditionalFormatting sqref="B29:K30">
    <cfRule type="cellIs" dxfId="25" priority="16" operator="equal">
      <formula>0</formula>
    </cfRule>
  </conditionalFormatting>
  <conditionalFormatting sqref="B44:K45">
    <cfRule type="cellIs" dxfId="24" priority="1" operator="equal">
      <formula>0</formula>
    </cfRule>
  </conditionalFormatting>
  <conditionalFormatting sqref="B19:L20 B38:K38">
    <cfRule type="cellIs" dxfId="23" priority="18" operator="equal">
      <formula>0</formula>
    </cfRule>
  </conditionalFormatting>
  <conditionalFormatting sqref="B22:L23">
    <cfRule type="cellIs" dxfId="22" priority="11" operator="equal">
      <formula>0</formula>
    </cfRule>
  </conditionalFormatting>
  <conditionalFormatting sqref="B25:L27">
    <cfRule type="cellIs" dxfId="21" priority="14" operator="equal">
      <formula>0</formula>
    </cfRule>
  </conditionalFormatting>
  <conditionalFormatting sqref="B54:L55">
    <cfRule type="cellIs" dxfId="20" priority="7" operator="equal">
      <formula>0</formula>
    </cfRule>
  </conditionalFormatting>
  <conditionalFormatting sqref="B57:L58">
    <cfRule type="cellIs" dxfId="19" priority="6" operator="equal">
      <formula>0</formula>
    </cfRule>
  </conditionalFormatting>
  <conditionalFormatting sqref="B60:L61">
    <cfRule type="cellIs" dxfId="18" priority="5" operator="equal">
      <formula>0</formula>
    </cfRule>
  </conditionalFormatting>
  <conditionalFormatting sqref="B65:L66">
    <cfRule type="cellIs" dxfId="17" priority="3" operator="equal">
      <formula>0</formula>
    </cfRule>
  </conditionalFormatting>
  <conditionalFormatting sqref="L51">
    <cfRule type="cellIs" dxfId="16" priority="2" stopIfTrue="1" operator="notEqual">
      <formula>$M$51</formula>
    </cfRule>
  </conditionalFormatting>
  <conditionalFormatting sqref="M51">
    <cfRule type="cellIs" dxfId="15" priority="8" stopIfTrue="1" operator="notEqual">
      <formula>$L$51</formula>
    </cfRule>
  </conditionalFormatting>
  <conditionalFormatting sqref="N12:N13">
    <cfRule type="cellIs" dxfId="14" priority="10" stopIfTrue="1" operator="notEqual">
      <formula>8760</formula>
    </cfRule>
  </conditionalFormatting>
  <conditionalFormatting sqref="N14">
    <cfRule type="cellIs" dxfId="13" priority="9" stopIfTrue="1" operator="notEqual">
      <formula>1</formula>
    </cfRule>
  </conditionalFormatting>
  <printOptions horizontalCentered="1"/>
  <pageMargins left="0.39370078740157483" right="0.39370078740157483" top="0.98425196850393704" bottom="0.39370078740157483" header="0.59055118110236227" footer="0.31496062992125984"/>
  <pageSetup paperSize="9" scale="76" orientation="portrait" r:id="rId1"/>
  <headerFooter>
    <oddHeader>&amp;C&amp;Z&amp;F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72"/>
  <sheetViews>
    <sheetView topLeftCell="A19" zoomScale="77" zoomScaleNormal="77" workbookViewId="0">
      <selection activeCell="W39" sqref="W39"/>
    </sheetView>
  </sheetViews>
  <sheetFormatPr baseColWidth="10" defaultColWidth="10.7109375" defaultRowHeight="15" customHeight="1" x14ac:dyDescent="0.25"/>
  <cols>
    <col min="1" max="1" width="12.7109375" style="129" customWidth="1"/>
    <col min="2" max="256" width="10.7109375" style="129"/>
    <col min="257" max="257" width="12.7109375" style="129" customWidth="1"/>
    <col min="258" max="512" width="10.7109375" style="129"/>
    <col min="513" max="513" width="12.7109375" style="129" customWidth="1"/>
    <col min="514" max="768" width="10.7109375" style="129"/>
    <col min="769" max="769" width="12.7109375" style="129" customWidth="1"/>
    <col min="770" max="1024" width="10.7109375" style="129"/>
    <col min="1025" max="1025" width="12.7109375" style="129" customWidth="1"/>
    <col min="1026" max="1280" width="10.7109375" style="129"/>
    <col min="1281" max="1281" width="12.7109375" style="129" customWidth="1"/>
    <col min="1282" max="1536" width="10.7109375" style="129"/>
    <col min="1537" max="1537" width="12.7109375" style="129" customWidth="1"/>
    <col min="1538" max="1792" width="10.7109375" style="129"/>
    <col min="1793" max="1793" width="12.7109375" style="129" customWidth="1"/>
    <col min="1794" max="2048" width="10.7109375" style="129"/>
    <col min="2049" max="2049" width="12.7109375" style="129" customWidth="1"/>
    <col min="2050" max="2304" width="10.7109375" style="129"/>
    <col min="2305" max="2305" width="12.7109375" style="129" customWidth="1"/>
    <col min="2306" max="2560" width="10.7109375" style="129"/>
    <col min="2561" max="2561" width="12.7109375" style="129" customWidth="1"/>
    <col min="2562" max="2816" width="10.7109375" style="129"/>
    <col min="2817" max="2817" width="12.7109375" style="129" customWidth="1"/>
    <col min="2818" max="3072" width="10.7109375" style="129"/>
    <col min="3073" max="3073" width="12.7109375" style="129" customWidth="1"/>
    <col min="3074" max="3328" width="10.7109375" style="129"/>
    <col min="3329" max="3329" width="12.7109375" style="129" customWidth="1"/>
    <col min="3330" max="3584" width="10.7109375" style="129"/>
    <col min="3585" max="3585" width="12.7109375" style="129" customWidth="1"/>
    <col min="3586" max="3840" width="10.7109375" style="129"/>
    <col min="3841" max="3841" width="12.7109375" style="129" customWidth="1"/>
    <col min="3842" max="4096" width="10.7109375" style="129"/>
    <col min="4097" max="4097" width="12.7109375" style="129" customWidth="1"/>
    <col min="4098" max="4352" width="10.7109375" style="129"/>
    <col min="4353" max="4353" width="12.7109375" style="129" customWidth="1"/>
    <col min="4354" max="4608" width="10.7109375" style="129"/>
    <col min="4609" max="4609" width="12.7109375" style="129" customWidth="1"/>
    <col min="4610" max="4864" width="10.7109375" style="129"/>
    <col min="4865" max="4865" width="12.7109375" style="129" customWidth="1"/>
    <col min="4866" max="5120" width="10.7109375" style="129"/>
    <col min="5121" max="5121" width="12.7109375" style="129" customWidth="1"/>
    <col min="5122" max="5376" width="10.7109375" style="129"/>
    <col min="5377" max="5377" width="12.7109375" style="129" customWidth="1"/>
    <col min="5378" max="5632" width="10.7109375" style="129"/>
    <col min="5633" max="5633" width="12.7109375" style="129" customWidth="1"/>
    <col min="5634" max="5888" width="10.7109375" style="129"/>
    <col min="5889" max="5889" width="12.7109375" style="129" customWidth="1"/>
    <col min="5890" max="6144" width="10.7109375" style="129"/>
    <col min="6145" max="6145" width="12.7109375" style="129" customWidth="1"/>
    <col min="6146" max="6400" width="10.7109375" style="129"/>
    <col min="6401" max="6401" width="12.7109375" style="129" customWidth="1"/>
    <col min="6402" max="6656" width="10.7109375" style="129"/>
    <col min="6657" max="6657" width="12.7109375" style="129" customWidth="1"/>
    <col min="6658" max="6912" width="10.7109375" style="129"/>
    <col min="6913" max="6913" width="12.7109375" style="129" customWidth="1"/>
    <col min="6914" max="7168" width="10.7109375" style="129"/>
    <col min="7169" max="7169" width="12.7109375" style="129" customWidth="1"/>
    <col min="7170" max="7424" width="10.7109375" style="129"/>
    <col min="7425" max="7425" width="12.7109375" style="129" customWidth="1"/>
    <col min="7426" max="7680" width="10.7109375" style="129"/>
    <col min="7681" max="7681" width="12.7109375" style="129" customWidth="1"/>
    <col min="7682" max="7936" width="10.7109375" style="129"/>
    <col min="7937" max="7937" width="12.7109375" style="129" customWidth="1"/>
    <col min="7938" max="8192" width="10.7109375" style="129"/>
    <col min="8193" max="8193" width="12.7109375" style="129" customWidth="1"/>
    <col min="8194" max="8448" width="10.7109375" style="129"/>
    <col min="8449" max="8449" width="12.7109375" style="129" customWidth="1"/>
    <col min="8450" max="8704" width="10.7109375" style="129"/>
    <col min="8705" max="8705" width="12.7109375" style="129" customWidth="1"/>
    <col min="8706" max="8960" width="10.7109375" style="129"/>
    <col min="8961" max="8961" width="12.7109375" style="129" customWidth="1"/>
    <col min="8962" max="9216" width="10.7109375" style="129"/>
    <col min="9217" max="9217" width="12.7109375" style="129" customWidth="1"/>
    <col min="9218" max="9472" width="10.7109375" style="129"/>
    <col min="9473" max="9473" width="12.7109375" style="129" customWidth="1"/>
    <col min="9474" max="9728" width="10.7109375" style="129"/>
    <col min="9729" max="9729" width="12.7109375" style="129" customWidth="1"/>
    <col min="9730" max="9984" width="10.7109375" style="129"/>
    <col min="9985" max="9985" width="12.7109375" style="129" customWidth="1"/>
    <col min="9986" max="10240" width="10.7109375" style="129"/>
    <col min="10241" max="10241" width="12.7109375" style="129" customWidth="1"/>
    <col min="10242" max="10496" width="10.7109375" style="129"/>
    <col min="10497" max="10497" width="12.7109375" style="129" customWidth="1"/>
    <col min="10498" max="10752" width="10.7109375" style="129"/>
    <col min="10753" max="10753" width="12.7109375" style="129" customWidth="1"/>
    <col min="10754" max="11008" width="10.7109375" style="129"/>
    <col min="11009" max="11009" width="12.7109375" style="129" customWidth="1"/>
    <col min="11010" max="11264" width="10.7109375" style="129"/>
    <col min="11265" max="11265" width="12.7109375" style="129" customWidth="1"/>
    <col min="11266" max="11520" width="10.7109375" style="129"/>
    <col min="11521" max="11521" width="12.7109375" style="129" customWidth="1"/>
    <col min="11522" max="11776" width="10.7109375" style="129"/>
    <col min="11777" max="11777" width="12.7109375" style="129" customWidth="1"/>
    <col min="11778" max="12032" width="10.7109375" style="129"/>
    <col min="12033" max="12033" width="12.7109375" style="129" customWidth="1"/>
    <col min="12034" max="12288" width="10.7109375" style="129"/>
    <col min="12289" max="12289" width="12.7109375" style="129" customWidth="1"/>
    <col min="12290" max="12544" width="10.7109375" style="129"/>
    <col min="12545" max="12545" width="12.7109375" style="129" customWidth="1"/>
    <col min="12546" max="12800" width="10.7109375" style="129"/>
    <col min="12801" max="12801" width="12.7109375" style="129" customWidth="1"/>
    <col min="12802" max="13056" width="10.7109375" style="129"/>
    <col min="13057" max="13057" width="12.7109375" style="129" customWidth="1"/>
    <col min="13058" max="13312" width="10.7109375" style="129"/>
    <col min="13313" max="13313" width="12.7109375" style="129" customWidth="1"/>
    <col min="13314" max="13568" width="10.7109375" style="129"/>
    <col min="13569" max="13569" width="12.7109375" style="129" customWidth="1"/>
    <col min="13570" max="13824" width="10.7109375" style="129"/>
    <col min="13825" max="13825" width="12.7109375" style="129" customWidth="1"/>
    <col min="13826" max="14080" width="10.7109375" style="129"/>
    <col min="14081" max="14081" width="12.7109375" style="129" customWidth="1"/>
    <col min="14082" max="14336" width="10.7109375" style="129"/>
    <col min="14337" max="14337" width="12.7109375" style="129" customWidth="1"/>
    <col min="14338" max="14592" width="10.7109375" style="129"/>
    <col min="14593" max="14593" width="12.7109375" style="129" customWidth="1"/>
    <col min="14594" max="14848" width="10.7109375" style="129"/>
    <col min="14849" max="14849" width="12.7109375" style="129" customWidth="1"/>
    <col min="14850" max="15104" width="10.7109375" style="129"/>
    <col min="15105" max="15105" width="12.7109375" style="129" customWidth="1"/>
    <col min="15106" max="15360" width="10.7109375" style="129"/>
    <col min="15361" max="15361" width="12.7109375" style="129" customWidth="1"/>
    <col min="15362" max="15616" width="10.7109375" style="129"/>
    <col min="15617" max="15617" width="12.7109375" style="129" customWidth="1"/>
    <col min="15618" max="15872" width="10.7109375" style="129"/>
    <col min="15873" max="15873" width="12.7109375" style="129" customWidth="1"/>
    <col min="15874" max="16128" width="10.7109375" style="129"/>
    <col min="16129" max="16129" width="12.7109375" style="129" customWidth="1"/>
    <col min="16130" max="16384" width="10.7109375" style="129"/>
  </cols>
  <sheetData>
    <row r="1" spans="1:14" ht="22.15" customHeight="1" x14ac:dyDescent="0.25">
      <c r="A1" s="127" t="s">
        <v>0</v>
      </c>
      <c r="B1" s="128">
        <f>[21]Input!B1</f>
        <v>4</v>
      </c>
      <c r="C1" s="128" t="str">
        <f>[21]Input!C1</f>
        <v>2024-2025</v>
      </c>
    </row>
    <row r="2" spans="1:14" ht="15" customHeight="1" x14ac:dyDescent="0.25">
      <c r="A2" s="130"/>
      <c r="B2" s="131" t="s">
        <v>3</v>
      </c>
      <c r="C2" s="132"/>
      <c r="D2" s="131" t="s">
        <v>4</v>
      </c>
      <c r="E2" s="133"/>
      <c r="F2" s="134" t="s">
        <v>225</v>
      </c>
    </row>
    <row r="3" spans="1:14" ht="15" customHeight="1" x14ac:dyDescent="0.25">
      <c r="A3" s="135" t="s">
        <v>6</v>
      </c>
      <c r="B3" s="136">
        <f>[21]Input!B3</f>
        <v>55907.942517183998</v>
      </c>
      <c r="C3" s="137">
        <f>C4+C5</f>
        <v>1</v>
      </c>
      <c r="D3" s="138">
        <f>[21]Input!D3</f>
        <v>2479.0600000000009</v>
      </c>
      <c r="E3" s="137">
        <f>E4+E5</f>
        <v>0.99999999999999989</v>
      </c>
      <c r="F3" s="139" t="s">
        <v>7</v>
      </c>
      <c r="H3" s="140" t="s">
        <v>10</v>
      </c>
      <c r="I3" s="141">
        <v>0.7</v>
      </c>
      <c r="J3" s="142">
        <f>I3*B3</f>
        <v>39135.559762028795</v>
      </c>
      <c r="K3" s="143" t="s">
        <v>9</v>
      </c>
      <c r="L3" s="144">
        <f>L54+L57</f>
        <v>39135.559762028795</v>
      </c>
      <c r="M3" s="145">
        <f>L3/(L4+L3)</f>
        <v>0.7</v>
      </c>
    </row>
    <row r="4" spans="1:14" ht="15" customHeight="1" x14ac:dyDescent="0.25">
      <c r="A4" s="146" t="s">
        <v>11</v>
      </c>
      <c r="B4" s="147">
        <f>[21]Input!B4</f>
        <v>47815.267483859388</v>
      </c>
      <c r="C4" s="148">
        <f>B4/B3</f>
        <v>0.85524999366883825</v>
      </c>
      <c r="D4" s="149">
        <f>[21]Input!D4</f>
        <v>2204.3000000000006</v>
      </c>
      <c r="E4" s="148">
        <f>D4/D3</f>
        <v>0.88916766839043826</v>
      </c>
      <c r="F4" s="150">
        <f>[21]Input!F4</f>
        <v>21.691814854538571</v>
      </c>
      <c r="H4" s="140" t="s">
        <v>12</v>
      </c>
      <c r="I4" s="141">
        <v>0.3</v>
      </c>
      <c r="J4" s="142">
        <f>I4*B3</f>
        <v>16772.382755155199</v>
      </c>
      <c r="K4" s="143" t="s">
        <v>9</v>
      </c>
      <c r="L4" s="144">
        <f>L55+L58</f>
        <v>16772.382755155199</v>
      </c>
      <c r="M4" s="145">
        <f>L4/(L3+L4)</f>
        <v>0.3</v>
      </c>
    </row>
    <row r="5" spans="1:14" ht="15" customHeight="1" x14ac:dyDescent="0.25">
      <c r="A5" s="151" t="s">
        <v>13</v>
      </c>
      <c r="B5" s="152">
        <f>[21]Input!B5</f>
        <v>8092.6750333246109</v>
      </c>
      <c r="C5" s="153">
        <f>B5/B3</f>
        <v>0.14475000633116175</v>
      </c>
      <c r="D5" s="154">
        <f>[21]Input!D5</f>
        <v>274.76000000000005</v>
      </c>
      <c r="E5" s="153">
        <f>D5/D3</f>
        <v>0.11083233160956167</v>
      </c>
      <c r="F5" s="155">
        <f>[21]Input!F5</f>
        <v>29.453614184468663</v>
      </c>
    </row>
    <row r="6" spans="1:14" ht="15" customHeight="1" x14ac:dyDescent="0.25">
      <c r="B6" s="156"/>
    </row>
    <row r="7" spans="1:14" ht="15" customHeight="1" x14ac:dyDescent="0.25">
      <c r="A7" s="127" t="s">
        <v>226</v>
      </c>
      <c r="B7" s="136">
        <f>[21]Input!B7</f>
        <v>35753.442279735209</v>
      </c>
      <c r="C7" s="137">
        <f>[21]Input!C7</f>
        <v>1</v>
      </c>
      <c r="D7" s="138">
        <f>[21]Input!D7</f>
        <v>611.28</v>
      </c>
      <c r="E7" s="137">
        <f>[21]Input!E7</f>
        <v>1</v>
      </c>
      <c r="F7" s="157">
        <f>[21]Input!F7</f>
        <v>58.48946845919253</v>
      </c>
      <c r="G7" s="129" t="str">
        <f>[21]Input!G7</f>
        <v>(230 kV)</v>
      </c>
    </row>
    <row r="9" spans="1:14" ht="15" customHeight="1" x14ac:dyDescent="0.25">
      <c r="A9" s="158" t="s">
        <v>227</v>
      </c>
      <c r="B9" s="159" t="s">
        <v>228</v>
      </c>
      <c r="C9" s="160" t="s">
        <v>229</v>
      </c>
      <c r="D9" s="160" t="s">
        <v>230</v>
      </c>
      <c r="E9" s="160" t="s">
        <v>231</v>
      </c>
      <c r="F9" s="160" t="s">
        <v>232</v>
      </c>
      <c r="G9" s="160" t="s">
        <v>233</v>
      </c>
      <c r="H9" s="161" t="s">
        <v>234</v>
      </c>
      <c r="I9" s="161" t="s">
        <v>235</v>
      </c>
      <c r="J9" s="161" t="s">
        <v>236</v>
      </c>
      <c r="K9" s="161" t="s">
        <v>237</v>
      </c>
      <c r="L9" s="161" t="s">
        <v>238</v>
      </c>
      <c r="M9" s="162" t="s">
        <v>239</v>
      </c>
    </row>
    <row r="10" spans="1:14" ht="15" customHeight="1" x14ac:dyDescent="0.25">
      <c r="A10" s="163"/>
      <c r="B10" s="164" t="s">
        <v>240</v>
      </c>
      <c r="C10" s="165" t="s">
        <v>241</v>
      </c>
      <c r="D10" s="165" t="s">
        <v>242</v>
      </c>
      <c r="E10" s="165" t="s">
        <v>243</v>
      </c>
      <c r="F10" s="165" t="s">
        <v>244</v>
      </c>
      <c r="G10" s="165" t="s">
        <v>245</v>
      </c>
      <c r="H10" s="165" t="s">
        <v>246</v>
      </c>
      <c r="I10" s="165" t="s">
        <v>247</v>
      </c>
      <c r="J10" s="165" t="s">
        <v>248</v>
      </c>
      <c r="K10" s="165" t="s">
        <v>249</v>
      </c>
      <c r="L10" s="165" t="s">
        <v>250</v>
      </c>
      <c r="M10" s="166" t="s">
        <v>251</v>
      </c>
    </row>
    <row r="11" spans="1:14" ht="15" customHeight="1" x14ac:dyDescent="0.25">
      <c r="A11" s="158" t="s">
        <v>252</v>
      </c>
      <c r="B11" s="159" t="s">
        <v>253</v>
      </c>
      <c r="C11" s="160" t="s">
        <v>253</v>
      </c>
      <c r="D11" s="160" t="s">
        <v>253</v>
      </c>
      <c r="E11" s="160" t="s">
        <v>253</v>
      </c>
      <c r="F11" s="160" t="s">
        <v>253</v>
      </c>
      <c r="G11" s="160" t="s">
        <v>253</v>
      </c>
      <c r="H11" s="161" t="s">
        <v>254</v>
      </c>
      <c r="I11" s="161" t="s">
        <v>254</v>
      </c>
      <c r="J11" s="161" t="s">
        <v>254</v>
      </c>
      <c r="K11" s="161" t="s">
        <v>254</v>
      </c>
      <c r="L11" s="161" t="s">
        <v>254</v>
      </c>
      <c r="M11" s="162" t="s">
        <v>253</v>
      </c>
    </row>
    <row r="12" spans="1:14" ht="15" customHeight="1" x14ac:dyDescent="0.25">
      <c r="A12" s="167">
        <f>SUM(B12:M12)</f>
        <v>8760</v>
      </c>
      <c r="B12" s="168">
        <f>24*31</f>
        <v>744</v>
      </c>
      <c r="C12" s="169">
        <f>24*31</f>
        <v>744</v>
      </c>
      <c r="D12" s="169">
        <f>24*30</f>
        <v>720</v>
      </c>
      <c r="E12" s="169">
        <f>24*31</f>
        <v>744</v>
      </c>
      <c r="F12" s="169">
        <f>24*30</f>
        <v>720</v>
      </c>
      <c r="G12" s="169">
        <f>24*31</f>
        <v>744</v>
      </c>
      <c r="H12" s="169">
        <f>24*31</f>
        <v>744</v>
      </c>
      <c r="I12" s="169">
        <f>24*28</f>
        <v>672</v>
      </c>
      <c r="J12" s="169">
        <f>24*31</f>
        <v>744</v>
      </c>
      <c r="K12" s="169">
        <f>24*30</f>
        <v>720</v>
      </c>
      <c r="L12" s="169">
        <f>24*31</f>
        <v>744</v>
      </c>
      <c r="M12" s="170">
        <f>24*30</f>
        <v>720</v>
      </c>
      <c r="N12" s="171">
        <f>SUM(B12:M12)</f>
        <v>8760</v>
      </c>
    </row>
    <row r="13" spans="1:14" ht="15" customHeight="1" x14ac:dyDescent="0.25">
      <c r="A13" s="172" t="s">
        <v>255</v>
      </c>
      <c r="B13" s="146">
        <f>[25]M01!$H$13</f>
        <v>744</v>
      </c>
      <c r="C13" s="129">
        <f>[25]M02!$H$13</f>
        <v>744</v>
      </c>
      <c r="D13" s="129">
        <f>[25]M03!$H$13</f>
        <v>720</v>
      </c>
      <c r="E13" s="129">
        <f>[25]M04!$H$13</f>
        <v>744</v>
      </c>
      <c r="F13" s="129">
        <f>[25]M05!$H$13</f>
        <v>720</v>
      </c>
      <c r="G13" s="129">
        <f>[25]M06!$H$13</f>
        <v>744</v>
      </c>
      <c r="H13" s="129">
        <f>[25]M07!$H$13</f>
        <v>744</v>
      </c>
      <c r="I13" s="129">
        <f>[25]M08!$H$13</f>
        <v>672</v>
      </c>
      <c r="J13" s="129">
        <f>[25]M09!$H$13</f>
        <v>744</v>
      </c>
      <c r="K13" s="129">
        <f>[25]M10!$H$13</f>
        <v>720</v>
      </c>
      <c r="L13" s="129">
        <f>[25]M11!$H$13</f>
        <v>744</v>
      </c>
      <c r="M13" s="173">
        <f>[25]M12!$H$13</f>
        <v>720</v>
      </c>
      <c r="N13" s="171">
        <f>SUM(B13:M13)</f>
        <v>8760</v>
      </c>
    </row>
    <row r="14" spans="1:14" ht="15" customHeight="1" x14ac:dyDescent="0.25">
      <c r="A14" s="163" t="s">
        <v>256</v>
      </c>
      <c r="B14" s="174">
        <f>[25]M01!$I$13</f>
        <v>8.493150684931508E-2</v>
      </c>
      <c r="C14" s="175">
        <f>[25]M02!$I$13</f>
        <v>8.4931506849315067E-2</v>
      </c>
      <c r="D14" s="175">
        <f>[25]M03!$I$13</f>
        <v>8.2191780821917804E-2</v>
      </c>
      <c r="E14" s="175">
        <f>[25]M04!$I$13</f>
        <v>8.493150684931508E-2</v>
      </c>
      <c r="F14" s="175">
        <f>[25]M05!$I$13</f>
        <v>8.2191780821917818E-2</v>
      </c>
      <c r="G14" s="175">
        <f>[25]M06!$I$13</f>
        <v>8.493150684931508E-2</v>
      </c>
      <c r="H14" s="175">
        <f>[25]M07!$I$13</f>
        <v>8.4931506849315067E-2</v>
      </c>
      <c r="I14" s="175">
        <f>[25]M08!$I$13</f>
        <v>7.6712328767123306E-2</v>
      </c>
      <c r="J14" s="175">
        <f>[25]M09!$I$13</f>
        <v>8.4931506849315067E-2</v>
      </c>
      <c r="K14" s="175">
        <f>[25]M10!$I$13</f>
        <v>8.2191780821917804E-2</v>
      </c>
      <c r="L14" s="175">
        <f>[25]M11!$I$13</f>
        <v>8.493150684931508E-2</v>
      </c>
      <c r="M14" s="176">
        <f>[25]M12!$I$13</f>
        <v>8.2191780821917804E-2</v>
      </c>
      <c r="N14" s="177">
        <f>SUM(B14:M14)</f>
        <v>1</v>
      </c>
    </row>
    <row r="16" spans="1:14" ht="20.25" customHeight="1" x14ac:dyDescent="0.25">
      <c r="A16" s="178" t="s">
        <v>26</v>
      </c>
      <c r="B16" s="179">
        <v>1</v>
      </c>
      <c r="C16" s="179">
        <v>2</v>
      </c>
      <c r="D16" s="179">
        <v>3</v>
      </c>
      <c r="E16" s="179">
        <v>4</v>
      </c>
      <c r="F16" s="179">
        <v>5</v>
      </c>
      <c r="G16" s="179">
        <v>6</v>
      </c>
      <c r="H16" s="179">
        <v>7</v>
      </c>
      <c r="I16" s="179">
        <v>8</v>
      </c>
      <c r="J16" s="179">
        <v>9</v>
      </c>
      <c r="K16" s="180">
        <v>10</v>
      </c>
      <c r="L16" s="181" t="s">
        <v>21</v>
      </c>
    </row>
    <row r="17" spans="1:14" ht="25.15" customHeight="1" x14ac:dyDescent="0.25">
      <c r="A17" s="182" t="s">
        <v>257</v>
      </c>
      <c r="B17" s="183" t="s">
        <v>258</v>
      </c>
      <c r="C17" s="183" t="s">
        <v>259</v>
      </c>
      <c r="D17" s="183" t="s">
        <v>260</v>
      </c>
      <c r="E17" s="183" t="s">
        <v>261</v>
      </c>
      <c r="F17" s="183" t="s">
        <v>262</v>
      </c>
      <c r="G17" s="183" t="s">
        <v>263</v>
      </c>
      <c r="H17" s="183" t="s">
        <v>264</v>
      </c>
      <c r="I17" s="183" t="s">
        <v>265</v>
      </c>
      <c r="J17" s="183" t="s">
        <v>266</v>
      </c>
      <c r="K17" s="184" t="s">
        <v>267</v>
      </c>
      <c r="L17" s="185"/>
    </row>
    <row r="18" spans="1:14" ht="20.25" customHeight="1" x14ac:dyDescent="0.25">
      <c r="A18" s="186" t="s">
        <v>268</v>
      </c>
      <c r="L18" s="187"/>
    </row>
    <row r="19" spans="1:14" ht="15" customHeight="1" x14ac:dyDescent="0.25">
      <c r="A19" s="158" t="s">
        <v>269</v>
      </c>
      <c r="B19" s="188">
        <f>[21]Input!B11</f>
        <v>360.07000000000005</v>
      </c>
      <c r="C19" s="189">
        <f>[21]Input!C11</f>
        <v>548.69000000000005</v>
      </c>
      <c r="D19" s="189">
        <f>[21]Input!D11</f>
        <v>152.99</v>
      </c>
      <c r="E19" s="189">
        <f>[21]Input!E11</f>
        <v>490.43</v>
      </c>
      <c r="F19" s="189">
        <f>[21]Input!F11</f>
        <v>823.4899999999999</v>
      </c>
      <c r="G19" s="189">
        <f>[21]Input!G11</f>
        <v>147</v>
      </c>
      <c r="H19" s="189">
        <f>[21]Input!H11</f>
        <v>159.33000000000001</v>
      </c>
      <c r="I19" s="189">
        <f>[21]Input!I11</f>
        <v>260</v>
      </c>
      <c r="J19" s="189">
        <f>[21]Input!J11</f>
        <v>1410.25</v>
      </c>
      <c r="K19" s="190">
        <f>[21]Input!K11</f>
        <v>252.17</v>
      </c>
      <c r="L19" s="191">
        <f>SUM(B19:K19)</f>
        <v>4604.42</v>
      </c>
    </row>
    <row r="20" spans="1:14" ht="15" customHeight="1" x14ac:dyDescent="0.25">
      <c r="A20" s="163" t="s">
        <v>23</v>
      </c>
      <c r="B20" s="192">
        <f>[21]Input!B12</f>
        <v>20.759254642276581</v>
      </c>
      <c r="C20" s="193">
        <f>[21]Input!C12</f>
        <v>0</v>
      </c>
      <c r="D20" s="193">
        <f>[21]Input!D12</f>
        <v>9.5354088196838716E-2</v>
      </c>
      <c r="E20" s="193">
        <f>[21]Input!E12</f>
        <v>122.79517221171982</v>
      </c>
      <c r="F20" s="193">
        <f>[21]Input!F12</f>
        <v>421.80727667034165</v>
      </c>
      <c r="G20" s="193">
        <f>[21]Input!G12</f>
        <v>203.54055121538289</v>
      </c>
      <c r="H20" s="193">
        <f>[21]Input!H12</f>
        <v>1166.4340438628744</v>
      </c>
      <c r="I20" s="193">
        <f>[21]Input!I12</f>
        <v>1.35</v>
      </c>
      <c r="J20" s="193">
        <f>[21]Input!J12</f>
        <v>157.13</v>
      </c>
      <c r="K20" s="194">
        <f>[21]Input!K12</f>
        <v>74.984500153045872</v>
      </c>
      <c r="L20" s="195">
        <f>SUM(B20:K20)</f>
        <v>2168.8961528438376</v>
      </c>
    </row>
    <row r="21" spans="1:14" ht="20.25" customHeight="1" x14ac:dyDescent="0.25">
      <c r="A21" s="186" t="s">
        <v>270</v>
      </c>
      <c r="L21" s="187"/>
    </row>
    <row r="22" spans="1:14" ht="15" customHeight="1" x14ac:dyDescent="0.25">
      <c r="A22" s="158" t="s">
        <v>271</v>
      </c>
      <c r="B22" s="188">
        <f>SUM([25]M01!B21*$B$14,[25]M02!B21*$C$14,[25]M03!B21*$D$14,[25]M04!B21*$E$14,[25]M05!B21*$F$14,[25]M06!B21*$G$14,[25]M07!B21*$H$14,[25]M08!B21*$I$14,[25]M09!B21*$J$14,[25]M10!B21*$K$14,[25]M11!B21*$L$14,[25]M12!B21*$M$14)/$N$14</f>
        <v>169.58464041095891</v>
      </c>
      <c r="C22" s="189">
        <f>SUM([25]M01!C21*$B$14,[25]M02!C21*$C$14,[25]M03!C21*$D$14,[25]M04!C21*$E$14,[25]M05!C21*$F$14,[25]M06!C21*$G$14,[25]M07!C21*$H$14,[25]M08!C21*$I$14,[25]M09!C21*$J$14,[25]M10!C21*$K$14,[25]M11!C21*$L$14,[25]M12!C21*$M$14)/$N$14</f>
        <v>333.92609018264841</v>
      </c>
      <c r="D22" s="189">
        <f>SUM([25]M01!D21*$B$14,[25]M02!D21*$C$14,[25]M03!D21*$D$14,[25]M04!D21*$E$14,[25]M05!D21*$F$14,[25]M06!D21*$G$14,[25]M07!D21*$H$14,[25]M08!D21*$I$14,[25]M09!D21*$J$14,[25]M10!D21*$K$14,[25]M11!D21*$L$14,[25]M12!D21*$M$14)/$N$14</f>
        <v>108.28904109589044</v>
      </c>
      <c r="E22" s="189">
        <f>SUM([25]M01!E21*$B$14,[25]M02!E21*$C$14,[25]M03!E21*$D$14,[25]M04!E21*$E$14,[25]M05!E21*$F$14,[25]M06!E21*$G$14,[25]M07!E21*$H$14,[25]M08!E21*$I$14,[25]M09!E21*$J$14,[25]M10!E21*$K$14,[25]M11!E21*$L$14,[25]M12!E21*$M$14)/$N$14</f>
        <v>261.14577625570774</v>
      </c>
      <c r="F22" s="189">
        <f>SUM([25]M01!F21*$B$14,[25]M02!F21*$C$14,[25]M03!F21*$D$14,[25]M04!F21*$E$14,[25]M05!F21*$F$14,[25]M06!F21*$G$14,[25]M07!F21*$H$14,[25]M08!F21*$I$14,[25]M09!F21*$J$14,[25]M10!F21*$K$14,[25]M11!F21*$L$14,[25]M12!F21*$M$14)/$N$14</f>
        <v>160.72696347031965</v>
      </c>
      <c r="G22" s="189">
        <f>SUM([25]M01!G21*$B$14,[25]M02!G21*$C$14,[25]M03!G21*$D$14,[25]M04!G21*$E$14,[25]M05!G21*$F$14,[25]M06!G21*$G$14,[25]M07!G21*$H$14,[25]M08!G21*$I$14,[25]M09!G21*$J$14,[25]M10!G21*$K$14,[25]M11!G21*$L$14,[25]M12!G21*$M$14)/$N$14</f>
        <v>16.682676940639272</v>
      </c>
      <c r="H22" s="189">
        <f>SUM([25]M01!H21*$B$14,[25]M02!H21*$C$14,[25]M03!H21*$D$14,[25]M04!H21*$E$14,[25]M05!H21*$F$14,[25]M06!H21*$G$14,[25]M07!H21*$H$14,[25]M08!H21*$I$14,[25]M09!H21*$J$14,[25]M10!H21*$K$14,[25]M11!H21*$L$14,[25]M12!H21*$M$14)/$N$14</f>
        <v>0</v>
      </c>
      <c r="I22" s="189">
        <f>SUM([25]M01!I21*$B$14,[25]M02!I21*$C$14,[25]M03!I21*$D$14,[25]M04!I21*$E$14,[25]M05!I21*$F$14,[25]M06!I21*$G$14,[25]M07!I21*$H$14,[25]M08!I21*$I$14,[25]M09!I21*$J$14,[25]M10!I21*$K$14,[25]M11!I21*$L$14,[25]M12!I21*$M$14)/$N$14</f>
        <v>24.392705479452058</v>
      </c>
      <c r="J22" s="189">
        <f>SUM([25]M01!J21*$B$14,[25]M02!J21*$C$14,[25]M03!J21*$D$14,[25]M04!J21*$E$14,[25]M05!J21*$F$14,[25]M06!J21*$G$14,[25]M07!J21*$H$14,[25]M08!J21*$I$14,[25]M09!J21*$J$14,[25]M10!J21*$K$14,[25]M11!J21*$L$14,[25]M12!J21*$M$14)/$N$14</f>
        <v>30.160861872146118</v>
      </c>
      <c r="K22" s="190">
        <f>SUM([25]M01!K21*$B$14,[25]M02!K21*$C$14,[25]M03!K21*$D$14,[25]M04!K21*$E$14,[25]M05!K21*$F$14,[25]M06!K21*$G$14,[25]M07!K21*$H$14,[25]M08!K21*$I$14,[25]M09!K21*$J$14,[25]M10!K21*$K$14,[25]M11!K21*$L$14,[25]M12!K21*$M$14)/$N$14</f>
        <v>195.94745433789953</v>
      </c>
      <c r="L22" s="191">
        <f>SUM(B22:K22)</f>
        <v>1300.8562100456622</v>
      </c>
    </row>
    <row r="23" spans="1:14" ht="15" customHeight="1" x14ac:dyDescent="0.25">
      <c r="A23" s="163" t="s">
        <v>272</v>
      </c>
      <c r="B23" s="192">
        <f>SUM([25]M01!B22*$B$14,[25]M02!B22*$C$14,[25]M03!B22*$D$14,[25]M04!B22*$E$14,[25]M05!B22*$F$14,[25]M06!B22*$G$14,[25]M07!B22*$H$14,[25]M08!B22*$I$14,[25]M09!B22*$J$14,[25]M10!B22*$K$14,[25]M11!B22*$L$14,[25]M12!B22*$M$14)/$N$14</f>
        <v>4.8157762557077621</v>
      </c>
      <c r="C23" s="193">
        <f>SUM([25]M01!C22*$B$14,[25]M02!C22*$C$14,[25]M03!C22*$D$14,[25]M04!C22*$E$14,[25]M05!C22*$F$14,[25]M06!C22*$G$14,[25]M07!C22*$H$14,[25]M08!C22*$I$14,[25]M09!C22*$J$14,[25]M10!C22*$K$14,[25]M11!C22*$L$14,[25]M12!C22*$M$14)/$N$14</f>
        <v>0</v>
      </c>
      <c r="D23" s="193">
        <f>SUM([25]M01!D22*$B$14,[25]M02!D22*$C$14,[25]M03!D22*$D$14,[25]M04!D22*$E$14,[25]M05!D22*$F$14,[25]M06!D22*$G$14,[25]M07!D22*$H$14,[25]M08!D22*$I$14,[25]M09!D22*$J$14,[25]M10!D22*$K$14,[25]M11!D22*$L$14,[25]M12!D22*$M$14)/$N$14</f>
        <v>8.0810502283105046E-2</v>
      </c>
      <c r="E23" s="193">
        <f>SUM([25]M01!E22*$B$14,[25]M02!E22*$C$14,[25]M03!E22*$D$14,[25]M04!E22*$E$14,[25]M05!E22*$F$14,[25]M06!E22*$G$14,[25]M07!E22*$H$14,[25]M08!E22*$I$14,[25]M09!E22*$J$14,[25]M10!E22*$K$14,[25]M11!E22*$L$14,[25]M12!E22*$M$14)/$N$14</f>
        <v>75.554360730593601</v>
      </c>
      <c r="F23" s="193">
        <f>SUM([25]M01!F22*$B$14,[25]M02!F22*$C$14,[25]M03!F22*$D$14,[25]M04!F22*$E$14,[25]M05!F22*$F$14,[25]M06!F22*$G$14,[25]M07!F22*$H$14,[25]M08!F22*$I$14,[25]M09!F22*$J$14,[25]M10!F22*$K$14,[25]M11!F22*$L$14,[25]M12!F22*$M$14)/$N$14</f>
        <v>161.21521118721463</v>
      </c>
      <c r="G23" s="193">
        <f>SUM([25]M01!G22*$B$14,[25]M02!G22*$C$14,[25]M03!G22*$D$14,[25]M04!G22*$E$14,[25]M05!G22*$F$14,[25]M06!G22*$G$14,[25]M07!G22*$H$14,[25]M08!G22*$I$14,[25]M09!G22*$J$14,[25]M10!G22*$K$14,[25]M11!G22*$L$14,[25]M12!G22*$M$14)/$N$14</f>
        <v>110.76623287671232</v>
      </c>
      <c r="H23" s="193">
        <f>SUM([25]M01!H22*$B$14,[25]M02!H22*$C$14,[25]M03!H22*$D$14,[25]M04!H22*$E$14,[25]M05!H22*$F$14,[25]M06!H22*$G$14,[25]M07!H22*$H$14,[25]M08!H22*$I$14,[25]M09!H22*$J$14,[25]M10!H22*$K$14,[25]M11!H22*$L$14,[25]M12!H22*$M$14)/$N$14</f>
        <v>944.22973173515993</v>
      </c>
      <c r="I23" s="193">
        <f>SUM([25]M01!I22*$B$14,[25]M02!I22*$C$14,[25]M03!I22*$D$14,[25]M04!I22*$E$14,[25]M05!I22*$F$14,[25]M06!I22*$G$14,[25]M07!I22*$H$14,[25]M08!I22*$I$14,[25]M09!I22*$J$14,[25]M10!I22*$K$14,[25]M11!I22*$L$14,[25]M12!I22*$M$14)/$N$14</f>
        <v>0</v>
      </c>
      <c r="J23" s="193">
        <f>SUM([25]M01!J22*$B$14,[25]M02!J22*$C$14,[25]M03!J22*$D$14,[25]M04!J22*$E$14,[25]M05!J22*$F$14,[25]M06!J22*$G$14,[25]M07!J22*$H$14,[25]M08!J22*$I$14,[25]M09!J22*$J$14,[25]M10!J22*$K$14,[25]M11!J22*$L$14,[25]M12!J22*$M$14)/$N$14</f>
        <v>158.90227739726029</v>
      </c>
      <c r="K23" s="194">
        <f>SUM([25]M01!K22*$B$14,[25]M02!K22*$C$14,[25]M03!K22*$D$14,[25]M04!K22*$E$14,[25]M05!K22*$F$14,[25]M06!K22*$G$14,[25]M07!K22*$H$14,[25]M08!K22*$I$14,[25]M09!K22*$J$14,[25]M10!K22*$K$14,[25]M11!K22*$L$14,[25]M12!K22*$M$14)/$N$14</f>
        <v>24.275896118721466</v>
      </c>
      <c r="L23" s="195">
        <f>SUM(B23:K23)</f>
        <v>1479.8402968036532</v>
      </c>
    </row>
    <row r="24" spans="1:14" ht="20.25" customHeight="1" x14ac:dyDescent="0.25">
      <c r="A24" s="186" t="s">
        <v>273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187"/>
    </row>
    <row r="25" spans="1:14" ht="15" customHeight="1" x14ac:dyDescent="0.25">
      <c r="A25" s="158" t="s">
        <v>274</v>
      </c>
      <c r="B25" s="188">
        <f>SUM([25]M01!B24,[25]M02!B24,[25]M03!B24,[25]M04!B24,[25]M05!B24,[25]M06!B24,[25]M07!B24,[25]M08!B24,[25]M09!B24,[25]M10!B24,[25]M11!B24,[25]M12!B24)</f>
        <v>1485.5614499999999</v>
      </c>
      <c r="C25" s="189">
        <f>SUM([25]M01!C24,[25]M02!C24,[25]M03!C24,[25]M04!C24,[25]M05!C24,[25]M06!C24,[25]M07!C24,[25]M08!C24,[25]M09!C24,[25]M10!C24,[25]M11!C24,[25]M12!C24)</f>
        <v>2925.1925500000002</v>
      </c>
      <c r="D25" s="189">
        <f>SUM([25]M01!D24,[25]M02!D24,[25]M03!D24,[25]M04!D24,[25]M05!D24,[25]M06!D24,[25]M07!D24,[25]M08!D24,[25]M09!D24,[25]M10!D24,[25]M11!D24,[25]M12!D24)</f>
        <v>948.61200000000008</v>
      </c>
      <c r="E25" s="189">
        <f>SUM([25]M01!E24,[25]M02!E24,[25]M03!E24,[25]M04!E24,[25]M05!E24,[25]M06!E24,[25]M07!E24,[25]M08!E24,[25]M09!E24,[25]M10!E24,[25]M11!E24,[25]M12!E24)</f>
        <v>2287.6369999999997</v>
      </c>
      <c r="F25" s="189">
        <f>SUM([25]M01!F24,[25]M02!F24,[25]M03!F24,[25]M04!F24,[25]M05!F24,[25]M06!F24,[25]M07!F24,[25]M08!F24,[25]M09!F24,[25]M10!F24,[25]M11!F24,[25]M12!F24)</f>
        <v>1407.9682</v>
      </c>
      <c r="G25" s="189">
        <f>SUM([25]M01!G24,[25]M02!G24,[25]M03!G24,[25]M04!G24,[25]M05!G24,[25]M06!G24,[25]M07!G24,[25]M08!G24,[25]M09!G24,[25]M10!G24,[25]M11!G24,[25]M12!G24)</f>
        <v>146.14025000000001</v>
      </c>
      <c r="H25" s="189">
        <f>SUM([25]M01!H24,[25]M02!H24,[25]M03!H24,[25]M04!H24,[25]M05!H24,[25]M06!H24,[25]M07!H24,[25]M08!H24,[25]M09!H24,[25]M10!H24,[25]M11!H24,[25]M12!H24)</f>
        <v>0</v>
      </c>
      <c r="I25" s="189">
        <f>SUM([25]M01!I24,[25]M02!I24,[25]M03!I24,[25]M04!I24,[25]M05!I24,[25]M06!I24,[25]M07!I24,[25]M08!I24,[25]M09!I24,[25]M10!I24,[25]M11!I24,[25]M12!I24)</f>
        <v>213.68009999999998</v>
      </c>
      <c r="J25" s="189">
        <f>SUM([25]M01!J24,[25]M02!J24,[25]M03!J24,[25]M04!J24,[25]M05!J24,[25]M06!J24,[25]M07!J24,[25]M08!J24,[25]M09!J24,[25]M10!J24,[25]M11!J24,[25]M12!J24)</f>
        <v>264.20915000000002</v>
      </c>
      <c r="K25" s="190">
        <f>SUM([25]M01!K24,[25]M02!K24,[25]M03!K24,[25]M04!K24,[25]M05!K24,[25]M06!K24,[25]M07!K24,[25]M08!K24,[25]M09!K24,[25]M10!K24,[25]M11!K24,[25]M12!K24)</f>
        <v>1716.4996999999998</v>
      </c>
      <c r="L25" s="191">
        <f>SUM(B25:K25)</f>
        <v>11395.500400000001</v>
      </c>
    </row>
    <row r="26" spans="1:14" ht="15" customHeight="1" x14ac:dyDescent="0.25">
      <c r="A26" s="163" t="s">
        <v>275</v>
      </c>
      <c r="B26" s="192">
        <f>SUM([25]M01!B25,[25]M02!B25,[25]M03!B25,[25]M04!B25,[25]M05!B25,[25]M06!B25,[25]M07!B25,[25]M08!B25,[25]M09!B25,[25]M10!B25,[25]M11!B25,[25]M12!B25)</f>
        <v>42.186199999999999</v>
      </c>
      <c r="C26" s="193">
        <f>SUM([25]M01!C25,[25]M02!C25,[25]M03!C25,[25]M04!C25,[25]M05!C25,[25]M06!C25,[25]M07!C25,[25]M08!C25,[25]M09!C25,[25]M10!C25,[25]M11!C25,[25]M12!C25)</f>
        <v>0</v>
      </c>
      <c r="D26" s="193">
        <f>SUM([25]M01!D25,[25]M02!D25,[25]M03!D25,[25]M04!D25,[25]M05!D25,[25]M06!D25,[25]M07!D25,[25]M08!D25,[25]M09!D25,[25]M10!D25,[25]M11!D25,[25]M12!D25)</f>
        <v>0.70790000000000008</v>
      </c>
      <c r="E26" s="193">
        <f>SUM([25]M01!E25,[25]M02!E25,[25]M03!E25,[25]M04!E25,[25]M05!E25,[25]M06!E25,[25]M07!E25,[25]M08!E25,[25]M09!E25,[25]M10!E25,[25]M11!E25,[25]M12!E25)</f>
        <v>661.85619999999994</v>
      </c>
      <c r="F26" s="193">
        <f>SUM([25]M01!F25,[25]M02!F25,[25]M03!F25,[25]M04!F25,[25]M05!F25,[25]M06!F25,[25]M07!F25,[25]M08!F25,[25]M09!F25,[25]M10!F25,[25]M11!F25,[25]M12!F25)</f>
        <v>1412.2452500000004</v>
      </c>
      <c r="G26" s="193">
        <f>SUM([25]M01!G25,[25]M02!G25,[25]M03!G25,[25]M04!G25,[25]M05!G25,[25]M06!G25,[25]M07!G25,[25]M08!G25,[25]M09!G25,[25]M10!G25,[25]M11!G25,[25]M12!G25)</f>
        <v>970.31220000000008</v>
      </c>
      <c r="H26" s="193">
        <f>SUM([25]M01!H25,[25]M02!H25,[25]M03!H25,[25]M04!H25,[25]M05!H25,[25]M06!H25,[25]M07!H25,[25]M08!H25,[25]M09!H25,[25]M10!H25,[25]M11!H25,[25]M12!H25)</f>
        <v>8271.4524500000007</v>
      </c>
      <c r="I26" s="193">
        <f>SUM([25]M01!I25,[25]M02!I25,[25]M03!I25,[25]M04!I25,[25]M05!I25,[25]M06!I25,[25]M07!I25,[25]M08!I25,[25]M09!I25,[25]M10!I25,[25]M11!I25,[25]M12!I25)</f>
        <v>0</v>
      </c>
      <c r="J26" s="193">
        <f>SUM([25]M01!J25,[25]M02!J25,[25]M03!J25,[25]M04!J25,[25]M05!J25,[25]M06!J25,[25]M07!J25,[25]M08!J25,[25]M09!J25,[25]M10!J25,[25]M11!J25,[25]M12!J25)</f>
        <v>1391.9839499999998</v>
      </c>
      <c r="K26" s="194">
        <f>SUM([25]M01!K25,[25]M02!K25,[25]M03!K25,[25]M04!K25,[25]M05!K25,[25]M06!K25,[25]M07!K25,[25]M08!K25,[25]M09!K25,[25]M10!K25,[25]M11!K25,[25]M12!K25)</f>
        <v>212.65685000000005</v>
      </c>
      <c r="L26" s="195">
        <f>SUM(B26:K26)</f>
        <v>12963.401</v>
      </c>
    </row>
    <row r="27" spans="1:14" ht="9.9499999999999993" customHeight="1" x14ac:dyDescent="0.25"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7"/>
      <c r="N27" s="198"/>
    </row>
    <row r="28" spans="1:14" ht="20.25" customHeight="1" x14ac:dyDescent="0.25">
      <c r="A28" s="186" t="s">
        <v>276</v>
      </c>
      <c r="L28" s="187"/>
      <c r="N28" s="198"/>
    </row>
    <row r="29" spans="1:14" ht="15" customHeight="1" x14ac:dyDescent="0.25">
      <c r="A29" s="199" t="s">
        <v>218</v>
      </c>
      <c r="B29" s="200">
        <f>SUM([25]M01!B27*$B$14,[25]M02!B27*$C$14,[25]M03!B27*$D$14,[25]M04!B27*$E$14,[25]M05!B27*$F$14,[25]M06!B27*$G$14,[25]M07!B27*$H$14,[25]M08!B27*$I$14,[25]M09!B27*$J$14,[25]M10!B27*$K$14,[25]M11!B27*$L$14,[25]M12!B27*$M$14)/$N$14</f>
        <v>1.7726510753199194</v>
      </c>
      <c r="C29" s="201">
        <f>SUM([25]M01!C27*$B$14,[25]M02!C27*$C$14,[25]M03!C27*$D$14,[25]M04!C27*$E$14,[25]M05!C27*$F$14,[25]M06!C27*$G$14,[25]M07!C27*$H$14,[25]M08!C27*$I$14,[25]M09!C27*$J$14,[25]M10!C27*$K$14,[25]M11!C27*$L$14,[25]M12!C27*$M$14)/$N$14</f>
        <v>1.5258409360254033</v>
      </c>
      <c r="D29" s="201">
        <f>SUM([25]M01!D27*$B$14,[25]M02!D27*$C$14,[25]M03!D27*$D$14,[25]M04!D27*$E$14,[25]M05!D27*$F$14,[25]M06!D27*$G$14,[25]M07!D27*$H$14,[25]M08!D27*$I$14,[25]M09!D27*$J$14,[25]M10!D27*$K$14,[25]M11!D27*$L$14,[25]M12!D27*$M$14)/$N$14</f>
        <v>2.3967041420101949</v>
      </c>
      <c r="E29" s="201">
        <f>SUM([25]M01!E27*$B$14,[25]M02!E27*$C$14,[25]M03!E27*$D$14,[25]M04!E27*$E$14,[25]M05!E27*$F$14,[25]M06!E27*$G$14,[25]M07!E27*$H$14,[25]M08!E27*$I$14,[25]M09!E27*$J$14,[25]M10!E27*$K$14,[25]M11!E27*$L$14,[25]M12!E27*$M$14)/$N$14</f>
        <v>1.5366319042788494</v>
      </c>
      <c r="F29" s="201">
        <f>SUM([25]M01!F27*$B$14,[25]M02!F27*$C$14,[25]M03!F27*$D$14,[25]M04!F27*$E$14,[25]M05!F27*$F$14,[25]M06!F27*$G$14,[25]M07!F27*$H$14,[25]M08!F27*$I$14,[25]M09!F27*$J$14,[25]M10!F27*$K$14,[25]M11!F27*$L$14,[25]M12!F27*$M$14)/$N$14</f>
        <v>0.57352816337815382</v>
      </c>
      <c r="G29" s="201">
        <f>SUM([25]M01!G27*$B$14,[25]M02!G27*$C$14,[25]M03!G27*$D$14,[25]M04!G27*$E$14,[25]M05!G27*$F$14,[25]M06!G27*$G$14,[25]M07!G27*$H$14,[25]M08!G27*$I$14,[25]M09!G27*$J$14,[25]M10!G27*$K$14,[25]M11!G27*$L$14,[25]M12!G27*$M$14)/$N$14</f>
        <v>1.2051667149803635</v>
      </c>
      <c r="H29" s="201">
        <f>SUM([25]M01!H27*$B$14,[25]M02!H27*$C$14,[25]M03!H27*$D$14,[25]M04!H27*$E$14,[25]M05!H27*$F$14,[25]M06!H27*$G$14,[25]M07!H27*$H$14,[25]M08!H27*$I$14,[25]M09!H27*$J$14,[25]M10!H27*$K$14,[25]M11!H27*$L$14,[25]M12!H27*$M$14)/$N$14</f>
        <v>0</v>
      </c>
      <c r="I29" s="201">
        <f>SUM([25]M01!I27*$B$14,[25]M02!I27*$C$14,[25]M03!I27*$D$14,[25]M04!I27*$E$14,[25]M05!I27*$F$14,[25]M06!I27*$G$14,[25]M07!I27*$H$14,[25]M08!I27*$I$14,[25]M09!I27*$J$14,[25]M10!I27*$K$14,[25]M11!I27*$L$14,[25]M12!I27*$M$14)/$N$14</f>
        <v>5.511205973823146E-2</v>
      </c>
      <c r="J29" s="201">
        <f>SUM([25]M01!J27*$B$14,[25]M02!J27*$C$14,[25]M03!J27*$D$14,[25]M04!J27*$E$14,[25]M05!J27*$F$14,[25]M06!J27*$G$14,[25]M07!J27*$H$14,[25]M08!J27*$I$14,[25]M09!J27*$J$14,[25]M10!J27*$K$14,[25]M11!J27*$L$14,[25]M12!J27*$M$14)/$N$14</f>
        <v>0.79469749585517746</v>
      </c>
      <c r="K29" s="202">
        <f>SUM([25]M01!K27*$B$14,[25]M02!K27*$C$14,[25]M03!K27*$D$14,[25]M04!K27*$E$14,[25]M05!K27*$F$14,[25]M06!K27*$G$14,[25]M07!K27*$H$14,[25]M08!K27*$I$14,[25]M09!K27*$J$14,[25]M10!K27*$K$14,[25]M11!K27*$L$14,[25]M12!K27*$M$14)/$N$14</f>
        <v>1.2966270022056379</v>
      </c>
      <c r="L29" s="187"/>
      <c r="N29" s="198"/>
    </row>
    <row r="30" spans="1:14" ht="15" customHeight="1" x14ac:dyDescent="0.25">
      <c r="A30" s="203" t="s">
        <v>277</v>
      </c>
      <c r="B30" s="204">
        <f>SUM([25]M01!B28*$B$14,[25]M02!B28*$C$14,[25]M03!B28*$D$14,[25]M04!B28*$E$14,[25]M05!B28*$F$14,[25]M06!B28*$G$14,[25]M07!B28*$H$14,[25]M08!B28*$I$14,[25]M09!B28*$J$14,[25]M10!B28*$K$14,[25]M11!B28*$L$14,[25]M12!B28*$M$14)/$N$14</f>
        <v>8.110135789171153E-3</v>
      </c>
      <c r="C30" s="205">
        <f>SUM([25]M01!C28*$B$14,[25]M02!C28*$C$14,[25]M03!C28*$D$14,[25]M04!C28*$E$14,[25]M05!C28*$F$14,[25]M06!C28*$G$14,[25]M07!C28*$H$14,[25]M08!C28*$I$14,[25]M09!C28*$J$14,[25]M10!C28*$K$14,[25]M11!C28*$L$14,[25]M12!C28*$M$14)/$N$14</f>
        <v>0</v>
      </c>
      <c r="D30" s="205">
        <f>SUM([25]M01!D28*$B$14,[25]M02!D28*$C$14,[25]M03!D28*$D$14,[25]M04!D28*$E$14,[25]M05!D28*$F$14,[25]M06!D28*$G$14,[25]M07!D28*$H$14,[25]M08!D28*$I$14,[25]M09!D28*$J$14,[25]M10!D28*$K$14,[25]M11!D28*$L$14,[25]M12!D28*$M$14)/$N$14</f>
        <v>0</v>
      </c>
      <c r="E30" s="205">
        <f>SUM([25]M01!E28*$B$14,[25]M02!E28*$C$14,[25]M03!E28*$D$14,[25]M04!E28*$E$14,[25]M05!E28*$F$14,[25]M06!E28*$G$14,[25]M07!E28*$H$14,[25]M08!E28*$I$14,[25]M09!E28*$J$14,[25]M10!E28*$K$14,[25]M11!E28*$L$14,[25]M12!E28*$M$14)/$N$14</f>
        <v>0.45614196142134023</v>
      </c>
      <c r="F30" s="205">
        <f>SUM([25]M01!F28*$B$14,[25]M02!F28*$C$14,[25]M03!F28*$D$14,[25]M04!F28*$E$14,[25]M05!F28*$F$14,[25]M06!F28*$G$14,[25]M07!F28*$H$14,[25]M08!F28*$I$14,[25]M09!F28*$J$14,[25]M10!F28*$K$14,[25]M11!F28*$L$14,[25]M12!F28*$M$14)/$N$14</f>
        <v>0.36112582085244571</v>
      </c>
      <c r="G30" s="205">
        <f>SUM([25]M01!G28*$B$14,[25]M02!G28*$C$14,[25]M03!G28*$D$14,[25]M04!G28*$E$14,[25]M05!G28*$F$14,[25]M06!G28*$G$14,[25]M07!G28*$H$14,[25]M08!G28*$I$14,[25]M09!G28*$J$14,[25]M10!G28*$K$14,[25]M11!G28*$L$14,[25]M12!G28*$M$14)/$N$14</f>
        <v>0.71855894503432716</v>
      </c>
      <c r="H30" s="205">
        <f>SUM([25]M01!H28*$B$14,[25]M02!H28*$C$14,[25]M03!H28*$D$14,[25]M04!H28*$E$14,[25]M05!H28*$F$14,[25]M06!H28*$G$14,[25]M07!H28*$H$14,[25]M08!H28*$I$14,[25]M09!H28*$J$14,[25]M10!H28*$K$14,[25]M11!H28*$L$14,[25]M12!H28*$M$14)/$N$14</f>
        <v>0.66333637605496787</v>
      </c>
      <c r="I30" s="205">
        <f>SUM([25]M01!I28*$B$14,[25]M02!I28*$C$14,[25]M03!I28*$D$14,[25]M04!I28*$E$14,[25]M05!I28*$F$14,[25]M06!I28*$G$14,[25]M07!I28*$H$14,[25]M08!I28*$I$14,[25]M09!I28*$J$14,[25]M10!I28*$K$14,[25]M11!I28*$L$14,[25]M12!I28*$M$14)/$N$14</f>
        <v>0</v>
      </c>
      <c r="J30" s="205">
        <f>SUM([25]M01!J28*$B$14,[25]M02!J28*$C$14,[25]M03!J28*$D$14,[25]M04!J28*$E$14,[25]M05!J28*$F$14,[25]M06!J28*$G$14,[25]M07!J28*$H$14,[25]M08!J28*$I$14,[25]M09!J28*$J$14,[25]M10!J28*$K$14,[25]M11!J28*$L$14,[25]M12!J28*$M$14)/$N$14</f>
        <v>2.6172782738165735E-2</v>
      </c>
      <c r="K30" s="206">
        <f>SUM([25]M01!K28*$B$14,[25]M02!K28*$C$14,[25]M03!K28*$D$14,[25]M04!K28*$E$14,[25]M05!K28*$F$14,[25]M06!K28*$G$14,[25]M07!K28*$H$14,[25]M08!K28*$I$14,[25]M09!K28*$J$14,[25]M10!K28*$K$14,[25]M11!K28*$L$14,[25]M12!K28*$M$14)/$N$14</f>
        <v>0</v>
      </c>
      <c r="L30" s="187"/>
      <c r="N30" s="198"/>
    </row>
    <row r="31" spans="1:14" ht="20.25" customHeight="1" x14ac:dyDescent="0.25">
      <c r="A31" s="186" t="s">
        <v>278</v>
      </c>
      <c r="L31" s="187"/>
      <c r="N31" s="198"/>
    </row>
    <row r="32" spans="1:14" ht="15" customHeight="1" x14ac:dyDescent="0.25">
      <c r="A32" s="207" t="s">
        <v>279</v>
      </c>
      <c r="B32" s="208">
        <f>SUM([25]M01!B30,[25]M02!B30,[25]M03!B30,[25]M04!B30,[25]M05!B30,[25]M06!B30,[25]M07!B30,[25]M08!B30,[25]M09!B30,[25]M10!B30,[25]M11!B30,[25]M12!B30)</f>
        <v>5.5001406388909944</v>
      </c>
      <c r="L32" s="187"/>
      <c r="N32" s="198"/>
    </row>
    <row r="33" spans="1:14" ht="15" customHeight="1" x14ac:dyDescent="0.25">
      <c r="A33" s="209" t="s">
        <v>280</v>
      </c>
      <c r="B33" s="210">
        <f>SUM([25]M01!B31,[25]M02!B31,[25]M03!B31,[25]M04!B31,[25]M05!B31,[25]M06!B31,[25]M07!B31,[25]M08!B31,[25]M09!B31,[25]M10!B31,[25]M11!B31,[25]M12!B31)</f>
        <v>4.5343551279360144</v>
      </c>
      <c r="L33" s="187"/>
      <c r="N33" s="198"/>
    </row>
    <row r="34" spans="1:14" ht="20.25" hidden="1" customHeight="1" x14ac:dyDescent="0.25">
      <c r="A34" s="186" t="s">
        <v>281</v>
      </c>
      <c r="L34" s="187"/>
      <c r="N34" s="198"/>
    </row>
    <row r="35" spans="1:14" ht="15" hidden="1" customHeight="1" x14ac:dyDescent="0.25">
      <c r="A35" s="207" t="s">
        <v>279</v>
      </c>
      <c r="B35" s="208" t="e">
        <f>SUM([25]M01!#REF!,[25]M02!#REF!,[25]M03!#REF!,[25]M04!#REF!,[25]M05!#REF!,[25]M06!#REF!,[25]M07!#REF!,[25]M08!#REF!,[25]M09!#REF!,[25]M10!#REF!,[25]M11!#REF!,[25]M12!#REF!)</f>
        <v>#REF!</v>
      </c>
      <c r="L35" s="187"/>
      <c r="N35" s="198"/>
    </row>
    <row r="36" spans="1:14" ht="15" hidden="1" customHeight="1" x14ac:dyDescent="0.25">
      <c r="A36" s="209" t="s">
        <v>280</v>
      </c>
      <c r="B36" s="210" t="e">
        <f>SUM([25]M01!#REF!,[25]M02!#REF!,[25]M03!#REF!,[25]M04!#REF!,[25]M05!#REF!,[25]M06!#REF!,[25]M07!#REF!,[25]M08!#REF!,[25]M09!#REF!,[25]M10!#REF!,[25]M11!#REF!,[25]M12!#REF!)</f>
        <v>#REF!</v>
      </c>
      <c r="L36" s="187"/>
      <c r="N36" s="198"/>
    </row>
    <row r="37" spans="1:14" ht="20.25" customHeight="1" x14ac:dyDescent="0.25">
      <c r="A37" s="186" t="s">
        <v>282</v>
      </c>
      <c r="L37" s="187"/>
      <c r="N37" s="198"/>
    </row>
    <row r="38" spans="1:14" ht="15" customHeight="1" x14ac:dyDescent="0.25">
      <c r="A38" s="211" t="s">
        <v>277</v>
      </c>
      <c r="B38" s="212">
        <f>SUM([25]M01!B33*$B$14,[25]M02!B33*$C$14,[25]M03!B33*$D$14,[25]M04!B33*$E$14,[25]M05!B33*$F$14,[25]M06!B33*$G$14,[25]M07!B33*$H$14,[25]M08!B33*$I$14,[25]M09!B33*$J$14,[25]M10!B33*$K$14,[25]M11!B33*$L$14,[25]M12!B33*$M$14)/$N$14</f>
        <v>0</v>
      </c>
      <c r="C38" s="213">
        <f>SUM([25]M01!C33*$B$14,[25]M02!C33*$C$14,[25]M03!C33*$D$14,[25]M04!C33*$E$14,[25]M05!C33*$F$14,[25]M06!C33*$G$14,[25]M07!C33*$H$14,[25]M08!C33*$I$14,[25]M09!C33*$J$14,[25]M10!C33*$K$14,[25]M11!C33*$L$14,[25]M12!C33*$M$14)/$N$14</f>
        <v>0</v>
      </c>
      <c r="D38" s="213">
        <f>SUM([25]M01!D33*$B$14,[25]M02!D33*$C$14,[25]M03!D33*$D$14,[25]M04!D33*$E$14,[25]M05!D33*$F$14,[25]M06!D33*$G$14,[25]M07!D33*$H$14,[25]M08!D33*$I$14,[25]M09!D33*$J$14,[25]M10!D33*$K$14,[25]M11!D33*$L$14,[25]M12!D33*$M$14)/$N$14</f>
        <v>0</v>
      </c>
      <c r="E38" s="213">
        <f>SUM([25]M01!E33*$B$14,[25]M02!E33*$C$14,[25]M03!E33*$D$14,[25]M04!E33*$E$14,[25]M05!E33*$F$14,[25]M06!E33*$G$14,[25]M07!E33*$H$14,[25]M08!E33*$I$14,[25]M09!E33*$J$14,[25]M10!E33*$K$14,[25]M11!E33*$L$14,[25]M12!E33*$M$14)/$N$14</f>
        <v>0</v>
      </c>
      <c r="F38" s="213">
        <f>SUM([25]M01!F33*$B$14,[25]M02!F33*$C$14,[25]M03!F33*$D$14,[25]M04!F33*$E$14,[25]M05!F33*$F$14,[25]M06!F33*$G$14,[25]M07!F33*$H$14,[25]M08!F33*$I$14,[25]M09!F33*$J$14,[25]M10!F33*$K$14,[25]M11!F33*$L$14,[25]M12!F33*$M$14)/$N$14</f>
        <v>0</v>
      </c>
      <c r="G38" s="213">
        <f>SUM([25]M01!G33*$B$14,[25]M02!G33*$C$14,[25]M03!G33*$D$14,[25]M04!G33*$E$14,[25]M05!G33*$F$14,[25]M06!G33*$G$14,[25]M07!G33*$H$14,[25]M08!G33*$I$14,[25]M09!G33*$J$14,[25]M10!G33*$K$14,[25]M11!G33*$L$14,[25]M12!G33*$M$14)/$N$14</f>
        <v>0.81027395683785042</v>
      </c>
      <c r="H38" s="213">
        <f>SUM([25]M01!H33*$B$14,[25]M02!H33*$C$14,[25]M03!H33*$D$14,[25]M04!H33*$E$14,[25]M05!H33*$F$14,[25]M06!H33*$G$14,[25]M07!H33*$H$14,[25]M08!H33*$I$14,[25]M09!H33*$J$14,[25]M10!H33*$K$14,[25]M11!H33*$L$14,[25]M12!H33*$M$14)/$N$14</f>
        <v>1.1418866309791695</v>
      </c>
      <c r="I38" s="213">
        <f>SUM([25]M01!I33*$B$14,[25]M02!I33*$C$14,[25]M03!I33*$D$14,[25]M04!I33*$E$14,[25]M05!I33*$F$14,[25]M06!I33*$G$14,[25]M07!I33*$H$14,[25]M08!I33*$I$14,[25]M09!I33*$J$14,[25]M10!I33*$K$14,[25]M11!I33*$L$14,[25]M12!I33*$M$14)/$N$14</f>
        <v>0</v>
      </c>
      <c r="J38" s="213">
        <f>SUM([25]M01!J33*$B$14,[25]M02!J33*$C$14,[25]M03!J33*$D$14,[25]M04!J33*$E$14,[25]M05!J33*$F$14,[25]M06!J33*$G$14,[25]M07!J33*$H$14,[25]M08!J33*$I$14,[25]M09!J33*$J$14,[25]M10!J33*$K$14,[25]M11!J33*$L$14,[25]M12!J33*$M$14)/$N$14</f>
        <v>1.8942473888442189E-2</v>
      </c>
      <c r="K38" s="214">
        <f>SUM([25]M01!K33*$B$14,[25]M02!K33*$C$14,[25]M03!K33*$D$14,[25]M04!K33*$E$14,[25]M05!K33*$F$14,[25]M06!K33*$G$14,[25]M07!K33*$H$14,[25]M08!K33*$I$14,[25]M09!K33*$J$14,[25]M10!K33*$K$14,[25]M11!K33*$L$14,[25]M12!K33*$M$14)/$N$14</f>
        <v>0</v>
      </c>
      <c r="L38" s="187"/>
      <c r="N38" s="198"/>
    </row>
    <row r="39" spans="1:14" ht="20.25" customHeight="1" x14ac:dyDescent="0.25">
      <c r="A39" s="186" t="s">
        <v>283</v>
      </c>
      <c r="L39" s="187"/>
      <c r="N39" s="198"/>
    </row>
    <row r="40" spans="1:14" ht="15" customHeight="1" x14ac:dyDescent="0.25">
      <c r="A40" s="209" t="s">
        <v>280</v>
      </c>
      <c r="B40" s="210">
        <f>SUM([25]M01!I34,[25]M02!I34,[25]M03!I34,[25]M04!I34,[25]M05!I34,[25]M06!I34,[25]M07!I34,[25]M08!I34,[25]M09!I34,[25]M10!I34,[25]M11!I34,[25]M12!I34)</f>
        <v>11.902585432753279</v>
      </c>
      <c r="L40" s="187"/>
      <c r="N40" s="198"/>
    </row>
    <row r="41" spans="1:14" ht="9.9499999999999993" customHeight="1" x14ac:dyDescent="0.25">
      <c r="L41" s="187"/>
      <c r="N41" s="198"/>
    </row>
    <row r="42" spans="1:14" ht="9.9499999999999993" customHeight="1" thickBot="1" x14ac:dyDescent="0.3">
      <c r="L42" s="187"/>
      <c r="N42" s="198"/>
    </row>
    <row r="43" spans="1:14" ht="20.25" customHeight="1" thickTop="1" x14ac:dyDescent="0.25">
      <c r="A43" s="215" t="s">
        <v>284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7"/>
      <c r="L43" s="218"/>
      <c r="N43" s="198"/>
    </row>
    <row r="44" spans="1:14" ht="15" customHeight="1" x14ac:dyDescent="0.25">
      <c r="A44" s="219" t="s">
        <v>218</v>
      </c>
      <c r="B44" s="220">
        <f>IFERROR(B54/B25,0)</f>
        <v>1.5065254593511963</v>
      </c>
      <c r="C44" s="221">
        <f t="shared" ref="C44:K44" si="0">IFERROR(C54/C25,0)</f>
        <v>1.2519631648293919</v>
      </c>
      <c r="D44" s="221">
        <f t="shared" si="0"/>
        <v>2.1496162903998122</v>
      </c>
      <c r="E44" s="221">
        <f t="shared" si="0"/>
        <v>1.351471032272888</v>
      </c>
      <c r="F44" s="221">
        <f t="shared" si="0"/>
        <v>0.78693999151617122</v>
      </c>
      <c r="G44" s="221">
        <f t="shared" si="0"/>
        <v>2.8491751028264121</v>
      </c>
      <c r="H44" s="221">
        <f t="shared" si="0"/>
        <v>0</v>
      </c>
      <c r="I44" s="221">
        <f t="shared" si="0"/>
        <v>0.2711375264070599</v>
      </c>
      <c r="J44" s="221">
        <f t="shared" si="0"/>
        <v>0.67475295812541325</v>
      </c>
      <c r="K44" s="222">
        <f t="shared" si="0"/>
        <v>1.2000752578029275</v>
      </c>
      <c r="L44" s="218"/>
      <c r="N44" s="198"/>
    </row>
    <row r="45" spans="1:14" ht="15" customHeight="1" x14ac:dyDescent="0.25">
      <c r="A45" s="223" t="s">
        <v>277</v>
      </c>
      <c r="B45" s="224">
        <f t="shared" ref="B45:K45" si="1">IFERROR(B55/B26,0)</f>
        <v>2.703645953255503E-2</v>
      </c>
      <c r="C45" s="224">
        <f t="shared" si="1"/>
        <v>0</v>
      </c>
      <c r="D45" s="224">
        <f t="shared" si="1"/>
        <v>0</v>
      </c>
      <c r="E45" s="224">
        <f t="shared" si="1"/>
        <v>0.47237771472117907</v>
      </c>
      <c r="F45" s="224">
        <f t="shared" si="1"/>
        <v>0.36910318043424822</v>
      </c>
      <c r="G45" s="224">
        <f t="shared" si="1"/>
        <v>0.7098205006750522</v>
      </c>
      <c r="H45" s="224">
        <f t="shared" si="1"/>
        <v>0.65062468029697584</v>
      </c>
      <c r="I45" s="224">
        <f t="shared" si="1"/>
        <v>0</v>
      </c>
      <c r="J45" s="224">
        <f t="shared" si="1"/>
        <v>2.3296150082559402E-2</v>
      </c>
      <c r="K45" s="225">
        <f t="shared" si="1"/>
        <v>0</v>
      </c>
      <c r="L45" s="218"/>
      <c r="N45" s="198"/>
    </row>
    <row r="46" spans="1:14" ht="20.25" customHeight="1" x14ac:dyDescent="0.2">
      <c r="A46" s="226" t="s">
        <v>285</v>
      </c>
      <c r="B46" s="227"/>
      <c r="C46" s="227"/>
      <c r="D46" s="227"/>
      <c r="E46" s="227"/>
      <c r="F46" s="227"/>
      <c r="G46" s="227"/>
      <c r="H46" s="227"/>
      <c r="I46" s="228"/>
      <c r="J46" s="228"/>
      <c r="K46" s="229"/>
      <c r="L46" s="218"/>
      <c r="N46" s="230"/>
    </row>
    <row r="47" spans="1:14" ht="15" customHeight="1" x14ac:dyDescent="0.25">
      <c r="A47" s="231" t="s">
        <v>279</v>
      </c>
      <c r="B47" s="232">
        <f>B32</f>
        <v>5.5001406388909944</v>
      </c>
      <c r="C47" s="233"/>
      <c r="D47" s="233"/>
      <c r="E47" s="228"/>
      <c r="F47" s="228"/>
      <c r="G47" s="228"/>
      <c r="H47" s="227"/>
      <c r="I47" s="228"/>
      <c r="J47" s="228"/>
      <c r="K47" s="229"/>
      <c r="L47" s="218"/>
      <c r="N47" s="234"/>
    </row>
    <row r="48" spans="1:14" ht="15" customHeight="1" x14ac:dyDescent="0.25">
      <c r="A48" s="235" t="s">
        <v>280</v>
      </c>
      <c r="B48" s="236">
        <f>B33+B40</f>
        <v>16.436940560689294</v>
      </c>
      <c r="C48" s="233"/>
      <c r="D48" s="233"/>
      <c r="E48" s="228"/>
      <c r="F48" s="228"/>
      <c r="G48" s="228"/>
      <c r="H48" s="227"/>
      <c r="I48" s="228"/>
      <c r="J48" s="228"/>
      <c r="K48" s="229"/>
      <c r="L48" s="218"/>
      <c r="N48" s="234"/>
    </row>
    <row r="49" spans="1:14" ht="9.9499999999999993" customHeight="1" thickBot="1" x14ac:dyDescent="0.3">
      <c r="A49" s="237"/>
      <c r="B49" s="238"/>
      <c r="C49" s="239"/>
      <c r="D49" s="239"/>
      <c r="E49" s="239"/>
      <c r="F49" s="239"/>
      <c r="G49" s="239"/>
      <c r="H49" s="239"/>
      <c r="I49" s="239"/>
      <c r="J49" s="239"/>
      <c r="K49" s="240"/>
      <c r="L49" s="218"/>
      <c r="N49" s="198"/>
    </row>
    <row r="50" spans="1:14" ht="9.9499999999999993" customHeight="1" thickTop="1" x14ac:dyDescent="0.25">
      <c r="B50" s="241"/>
      <c r="L50" s="187"/>
      <c r="N50" s="198"/>
    </row>
    <row r="51" spans="1:14" ht="20.25" customHeight="1" x14ac:dyDescent="0.25">
      <c r="A51" s="242" t="s">
        <v>286</v>
      </c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4">
        <f>ROUND(SUM(L54:L55,L57:L58),3)</f>
        <v>55907.942999999999</v>
      </c>
      <c r="M51" s="244">
        <f>ROUND(B3,3)</f>
        <v>55907.942999999999</v>
      </c>
      <c r="N51" s="284"/>
    </row>
    <row r="52" spans="1:14" ht="20.25" customHeight="1" x14ac:dyDescent="0.25">
      <c r="A52" s="245" t="s">
        <v>287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197"/>
      <c r="M52" s="246">
        <f>M53+M56</f>
        <v>0.99999999136408912</v>
      </c>
      <c r="N52" s="198"/>
    </row>
    <row r="53" spans="1:14" ht="20.25" customHeight="1" x14ac:dyDescent="0.25">
      <c r="A53" s="247" t="s">
        <v>20</v>
      </c>
      <c r="B53" s="248">
        <v>1</v>
      </c>
      <c r="C53" s="249">
        <v>2</v>
      </c>
      <c r="D53" s="249">
        <v>3</v>
      </c>
      <c r="E53" s="249">
        <v>4</v>
      </c>
      <c r="F53" s="249">
        <v>5</v>
      </c>
      <c r="G53" s="249">
        <v>6</v>
      </c>
      <c r="H53" s="249">
        <v>7</v>
      </c>
      <c r="I53" s="249">
        <v>8</v>
      </c>
      <c r="J53" s="249">
        <v>9</v>
      </c>
      <c r="K53" s="250">
        <v>10</v>
      </c>
      <c r="L53" s="251">
        <f>L54+L55</f>
        <v>21789.440841823212</v>
      </c>
      <c r="M53" s="246">
        <f>L53/$M$51</f>
        <v>0.38973783817843582</v>
      </c>
      <c r="N53" s="252"/>
    </row>
    <row r="54" spans="1:14" ht="15" customHeight="1" x14ac:dyDescent="0.25">
      <c r="A54" s="253" t="s">
        <v>218</v>
      </c>
      <c r="B54" s="254">
        <f>SUM([25]M01!B38,[25]M02!B38,[25]M03!B38,[25]M04!B38,[25]M05!B38,[25]M06!B38,[25]M07!B38,[25]M08!B38,[25]M09!B38,[25]M10!B38,[25]M11!B38,[25]M12!B38)</f>
        <v>2238.036145855679</v>
      </c>
      <c r="C54" s="255">
        <f>SUM([25]M01!C38,[25]M02!C38,[25]M03!C38,[25]M04!C38,[25]M05!C38,[25]M06!C38,[25]M07!C38,[25]M08!C38,[25]M09!C38,[25]M10!C38,[25]M11!C38,[25]M12!C38)</f>
        <v>3662.2333226333594</v>
      </c>
      <c r="D54" s="255">
        <f>SUM([25]M01!D38,[25]M02!D38,[25]M03!D38,[25]M04!D38,[25]M05!D38,[25]M06!D38,[25]M07!D38,[25]M08!D38,[25]M09!D38,[25]M10!D38,[25]M11!D38,[25]M12!D38)</f>
        <v>2039.1518084687468</v>
      </c>
      <c r="E54" s="255">
        <f>SUM([25]M01!E38,[25]M02!E38,[25]M03!E38,[25]M04!E38,[25]M05!E38,[25]M06!E38,[25]M07!E38,[25]M08!E38,[25]M09!E38,[25]M10!E38,[25]M11!E38,[25]M12!E38)</f>
        <v>3091.6751378556523</v>
      </c>
      <c r="F54" s="255">
        <f>SUM([25]M01!F38,[25]M02!F38,[25]M03!F38,[25]M04!F38,[25]M05!F38,[25]M06!F38,[25]M07!F38,[25]M08!F38,[25]M09!F38,[25]M10!F38,[25]M11!F38,[25]M12!F38)</f>
        <v>1107.9864833630388</v>
      </c>
      <c r="G54" s="255">
        <f>SUM([25]M01!G38,[25]M02!G38,[25]M03!G38,[25]M04!G38,[25]M05!G38,[25]M06!G38,[25]M07!G38,[25]M08!G38,[25]M09!G38,[25]M10!G38,[25]M11!G38,[25]M12!G38)</f>
        <v>416.37916182082762</v>
      </c>
      <c r="H54" s="255">
        <f>SUM([25]M01!H38,[25]M02!H38,[25]M03!H38,[25]M04!H38,[25]M05!H38,[25]M06!H38,[25]M07!H38,[25]M08!H38,[25]M09!H38,[25]M10!H38,[25]M11!H38,[25]M12!H38)</f>
        <v>0</v>
      </c>
      <c r="I54" s="255">
        <f>SUM([25]M01!I38,[25]M02!I38,[25]M03!I38,[25]M04!I38,[25]M05!I38,[25]M06!I38,[25]M07!I38,[25]M08!I38,[25]M09!I38,[25]M10!I38,[25]M11!I38,[25]M12!I38)</f>
        <v>57.936693756413192</v>
      </c>
      <c r="J54" s="255">
        <f>SUM([25]M01!J38,[25]M02!J38,[25]M03!J38,[25]M04!J38,[25]M05!J38,[25]M06!J38,[25]M07!J38,[25]M08!J38,[25]M09!J38,[25]M10!J38,[25]M11!J38,[25]M12!J38)</f>
        <v>178.27590552630105</v>
      </c>
      <c r="K54" s="256">
        <f>SUM([25]M01!K38,[25]M02!K38,[25]M03!K38,[25]M04!K38,[25]M05!K38,[25]M06!K38,[25]M07!K38,[25]M08!K38,[25]M09!K38,[25]M10!K38,[25]M11!K38,[25]M12!K38)</f>
        <v>2059.9288199961475</v>
      </c>
      <c r="L54" s="257">
        <f>SUM(B54:K54)</f>
        <v>14851.603479276164</v>
      </c>
      <c r="M54" s="258">
        <f>L54/(L55+L54)</f>
        <v>0.68159635610151204</v>
      </c>
      <c r="N54" s="259"/>
    </row>
    <row r="55" spans="1:14" ht="15" customHeight="1" x14ac:dyDescent="0.25">
      <c r="A55" s="260" t="s">
        <v>277</v>
      </c>
      <c r="B55" s="261">
        <f>SUM([25]M01!B39,[25]M02!B39,[25]M03!B39,[25]M04!B39,[25]M05!B39,[25]M06!B39,[25]M07!B39,[25]M08!B39,[25]M09!B39,[25]M10!B39,[25]M11!B39,[25]M12!B39)</f>
        <v>1.140565489132273</v>
      </c>
      <c r="C55" s="262">
        <f>SUM([25]M01!C39,[25]M02!C39,[25]M03!C39,[25]M04!C39,[25]M05!C39,[25]M06!C39,[25]M07!C39,[25]M08!C39,[25]M09!C39,[25]M10!C39,[25]M11!C39,[25]M12!C39)</f>
        <v>0</v>
      </c>
      <c r="D55" s="262">
        <f>SUM([25]M01!D39,[25]M02!D39,[25]M03!D39,[25]M04!D39,[25]M05!D39,[25]M06!D39,[25]M07!D39,[25]M08!D39,[25]M09!D39,[25]M10!D39,[25]M11!D39,[25]M12!D39)</f>
        <v>0</v>
      </c>
      <c r="E55" s="262">
        <f>SUM([25]M01!E39,[25]M02!E39,[25]M03!E39,[25]M04!E39,[25]M05!E39,[25]M06!E39,[25]M07!E39,[25]M08!E39,[25]M09!E39,[25]M10!E39,[25]M11!E39,[25]M12!E39)</f>
        <v>312.64611923004361</v>
      </c>
      <c r="F55" s="262">
        <f>SUM([25]M01!F39,[25]M02!F39,[25]M03!F39,[25]M04!F39,[25]M05!F39,[25]M06!F39,[25]M07!F39,[25]M08!F39,[25]M09!F39,[25]M10!F39,[25]M11!F39,[25]M12!F39)</f>
        <v>521.26421332816017</v>
      </c>
      <c r="G55" s="262">
        <f>SUM([25]M01!G39,[25]M02!G39,[25]M03!G39,[25]M04!G39,[25]M05!G39,[25]M06!G39,[25]M07!G39,[25]M08!G39,[25]M09!G39,[25]M10!G39,[25]M11!G39,[25]M12!G39)</f>
        <v>688.74749161511147</v>
      </c>
      <c r="H55" s="262">
        <f>SUM([25]M01!H39,[25]M02!H39,[25]M03!H39,[25]M04!H39,[25]M05!H39,[25]M06!H39,[25]M07!H39,[25]M08!H39,[25]M09!H39,[25]M10!H39,[25]M11!H39,[25]M12!H39)</f>
        <v>5381.6111058728884</v>
      </c>
      <c r="I55" s="262">
        <f>SUM([25]M01!I39,[25]M02!I39,[25]M03!I39,[25]M04!I39,[25]M05!I39,[25]M06!I39,[25]M07!I39,[25]M08!I39,[25]M09!I39,[25]M10!I39,[25]M11!I39,[25]M12!I39)</f>
        <v>0</v>
      </c>
      <c r="J55" s="262">
        <f>SUM([25]M01!J39,[25]M02!J39,[25]M03!J39,[25]M04!J39,[25]M05!J39,[25]M06!J39,[25]M07!J39,[25]M08!J39,[25]M09!J39,[25]M10!J39,[25]M11!J39,[25]M12!J39)</f>
        <v>32.427867011713857</v>
      </c>
      <c r="K55" s="263">
        <f>SUM([25]M01!K39,[25]M02!K39,[25]M03!K39,[25]M04!K39,[25]M05!K39,[25]M06!K39,[25]M07!K39,[25]M08!K39,[25]M09!K39,[25]M10!K39,[25]M11!K39,[25]M12!K39)</f>
        <v>0</v>
      </c>
      <c r="L55" s="264">
        <f>SUM(B55:K55)</f>
        <v>6937.8373625470495</v>
      </c>
      <c r="M55" s="265">
        <f>L55/(L54+L55)</f>
        <v>0.31840364389848802</v>
      </c>
      <c r="N55" s="140"/>
    </row>
    <row r="56" spans="1:14" ht="20.25" customHeight="1" x14ac:dyDescent="0.25">
      <c r="A56" s="245" t="s">
        <v>288</v>
      </c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51">
        <f>L57+L58</f>
        <v>34118.501675360778</v>
      </c>
      <c r="M56" s="246">
        <f>L56/$M$51</f>
        <v>0.61026215318565336</v>
      </c>
      <c r="N56" s="252"/>
    </row>
    <row r="57" spans="1:14" ht="15" customHeight="1" x14ac:dyDescent="0.25">
      <c r="A57" s="253" t="s">
        <v>218</v>
      </c>
      <c r="B57" s="254">
        <f>SUM([25]M01!B41,[25]M02!B41,[25]M03!B41,[25]M04!B41,[25]M05!B41,[25]M06!B41,[25]M07!B41,[25]M08!B41,[25]M09!B41,[25]M10!B41,[25]M11!B41,[25]M12!B41)</f>
        <v>1870.4450876819717</v>
      </c>
      <c r="C57" s="255">
        <f>SUM([25]M01!C41,[25]M02!C41,[25]M03!C41,[25]M04!C41,[25]M05!C41,[25]M06!C41,[25]M07!C41,[25]M08!C41,[25]M09!C41,[25]M10!C41,[25]M11!C41,[25]M12!C41)</f>
        <v>3017.8721671531002</v>
      </c>
      <c r="D57" s="255">
        <f>SUM([25]M01!D41,[25]M02!D41,[25]M03!D41,[25]M04!D41,[25]M05!D41,[25]M06!D41,[25]M07!D41,[25]M08!D41,[25]M09!D41,[25]M10!D41,[25]M11!D41,[25]M12!D41)</f>
        <v>841.46651634393322</v>
      </c>
      <c r="E57" s="255">
        <f>SUM([25]M01!E41,[25]M02!E41,[25]M03!E41,[25]M04!E41,[25]M05!E41,[25]M06!E41,[25]M07!E41,[25]M08!E41,[25]M09!E41,[25]M10!E41,[25]M11!E41,[25]M12!E41)</f>
        <v>2477.7278455847018</v>
      </c>
      <c r="F57" s="255">
        <f>SUM([25]M01!F41,[25]M02!F41,[25]M03!F41,[25]M04!F41,[25]M05!F41,[25]M06!F41,[25]M07!F41,[25]M08!F41,[25]M09!F41,[25]M10!F41,[25]M11!F41,[25]M12!F41)</f>
        <v>4507.2027137354789</v>
      </c>
      <c r="G57" s="255">
        <f>SUM([25]M01!G41,[25]M02!G41,[25]M03!G41,[25]M04!G41,[25]M05!G41,[25]M06!G41,[25]M07!G41,[25]M08!G41,[25]M09!G41,[25]M10!G41,[25]M11!G41,[25]M12!G41)</f>
        <v>808.52067391697619</v>
      </c>
      <c r="H57" s="255">
        <f>SUM([25]M01!H41,[25]M02!H41,[25]M03!H41,[25]M04!H41,[25]M05!H41,[25]M06!H41,[25]M07!H41,[25]M08!H41,[25]M09!H41,[25]M10!H41,[25]M11!H41,[25]M12!H41)</f>
        <v>876.3374079945022</v>
      </c>
      <c r="I57" s="255">
        <f>SUM([25]M01!I41,[25]M02!I41,[25]M03!I41,[25]M04!I41,[25]M05!I41,[25]M06!I41,[25]M07!I41,[25]M08!I41,[25]M09!I41,[25]M10!I41,[25]M11!I41,[25]M12!I41)</f>
        <v>1430.0365661116589</v>
      </c>
      <c r="J57" s="255">
        <f>SUM([25]M01!J41,[25]M02!J41,[25]M03!J41,[25]M04!J41,[25]M05!J41,[25]M06!J41,[25]M07!J41,[25]M08!J41,[25]M09!J41,[25]M10!J41,[25]M11!J41,[25]M12!J41)</f>
        <v>7067.3768393211667</v>
      </c>
      <c r="K57" s="256">
        <f>SUM([25]M01!K41,[25]M02!K41,[25]M03!K41,[25]M04!K41,[25]M05!K41,[25]M06!K41,[25]M07!K41,[25]M08!K41,[25]M09!K41,[25]M10!K41,[25]M11!K41,[25]M12!K41)</f>
        <v>1386.9704649091418</v>
      </c>
      <c r="L57" s="257">
        <f>SUM(B57:K57)</f>
        <v>24283.956282752632</v>
      </c>
      <c r="M57" s="258">
        <f>L57/(L58+L57)</f>
        <v>0.71175330364198497</v>
      </c>
      <c r="N57" s="259"/>
    </row>
    <row r="58" spans="1:14" ht="15" customHeight="1" x14ac:dyDescent="0.25">
      <c r="A58" s="260" t="s">
        <v>277</v>
      </c>
      <c r="B58" s="261">
        <f>SUM([25]M01!B42,[25]M02!B42,[25]M03!B42,[25]M04!B42,[25]M05!B42,[25]M06!B42,[25]M07!B42,[25]M08!B42,[25]M09!B42,[25]M10!B42,[25]M11!B42,[25]M12!B42)</f>
        <v>94.129832739336308</v>
      </c>
      <c r="C58" s="262">
        <f>SUM([25]M01!C42,[25]M02!C42,[25]M03!C42,[25]M04!C42,[25]M05!C42,[25]M06!C42,[25]M07!C42,[25]M08!C42,[25]M09!C42,[25]M10!C42,[25]M11!C42,[25]M12!C42)</f>
        <v>0</v>
      </c>
      <c r="D58" s="262">
        <f>SUM([25]M01!D42,[25]M02!D42,[25]M03!D42,[25]M04!D42,[25]M05!D42,[25]M06!D42,[25]M07!D42,[25]M08!D42,[25]M09!D42,[25]M10!D42,[25]M11!D42,[25]M12!D42)</f>
        <v>0.43236929878499858</v>
      </c>
      <c r="E58" s="262">
        <f>SUM([25]M01!E42,[25]M02!E42,[25]M03!E42,[25]M04!E42,[25]M05!E42,[25]M06!E42,[25]M07!E42,[25]M08!E42,[25]M09!E42,[25]M10!E42,[25]M11!E42,[25]M12!E42)</f>
        <v>556.79691880399764</v>
      </c>
      <c r="F58" s="262">
        <f>SUM([25]M01!F42,[25]M02!F42,[25]M03!F42,[25]M04!F42,[25]M05!F42,[25]M06!F42,[25]M07!F42,[25]M08!F42,[25]M09!F42,[25]M10!F42,[25]M11!F42,[25]M12!F42)</f>
        <v>1912.6239879708889</v>
      </c>
      <c r="G58" s="262">
        <f>SUM([25]M01!G42,[25]M02!G42,[25]M03!G42,[25]M04!G42,[25]M05!G42,[25]M06!G42,[25]M07!G42,[25]M08!G42,[25]M09!G42,[25]M10!G42,[25]M11!G42,[25]M12!G42)</f>
        <v>922.92514214639436</v>
      </c>
      <c r="H58" s="262">
        <f>SUM([25]M01!H42,[25]M02!H42,[25]M03!H42,[25]M04!H42,[25]M05!H42,[25]M06!H42,[25]M07!H42,[25]M08!H42,[25]M09!H42,[25]M10!H42,[25]M11!H42,[25]M12!H42)</f>
        <v>5289.0261881887673</v>
      </c>
      <c r="I58" s="262">
        <f>SUM([25]M01!I42,[25]M02!I42,[25]M03!I42,[25]M04!I42,[25]M05!I42,[25]M06!I42,[25]M07!I42,[25]M08!I42,[25]M09!I42,[25]M10!I42,[25]M11!I42,[25]M12!I42)</f>
        <v>6.1213794227136198</v>
      </c>
      <c r="J58" s="262">
        <f>SUM([25]M01!J42,[25]M02!J42,[25]M03!J42,[25]M04!J42,[25]M05!J42,[25]M06!J42,[25]M07!J42,[25]M08!J42,[25]M09!J42,[25]M10!J42,[25]M11!J42,[25]M12!J42)</f>
        <v>712.48322125258585</v>
      </c>
      <c r="K58" s="263">
        <f>SUM([25]M01!K42,[25]M02!K42,[25]M03!K42,[25]M04!K42,[25]M05!K42,[25]M06!K42,[25]M07!K42,[25]M08!K42,[25]M09!K42,[25]M10!K42,[25]M11!K42,[25]M12!K42)</f>
        <v>340.00635278468241</v>
      </c>
      <c r="L58" s="264">
        <f>SUM(B58:K58)</f>
        <v>9834.54539260815</v>
      </c>
      <c r="M58" s="265">
        <f>L58/(L57+L58)</f>
        <v>0.28824669635801514</v>
      </c>
      <c r="N58" s="198"/>
    </row>
    <row r="59" spans="1:14" ht="20.25" customHeight="1" x14ac:dyDescent="0.25">
      <c r="A59" s="245" t="s">
        <v>289</v>
      </c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51">
        <f>L60+L61</f>
        <v>35753.442279735216</v>
      </c>
      <c r="M59" s="246">
        <f>IFERROR(L59/B7,0)</f>
        <v>1.0000000000000002</v>
      </c>
      <c r="N59" s="198"/>
    </row>
    <row r="60" spans="1:14" ht="15" customHeight="1" x14ac:dyDescent="0.25">
      <c r="A60" s="253" t="s">
        <v>290</v>
      </c>
      <c r="B60" s="254">
        <f>SUM([25]M01!B44,[25]M02!B44,[25]M03!B44,[25]M04!B44,[25]M05!B44,[25]M06!B44,[25]M07!B44,[25]M08!B44,[25]M09!B44,[25]M10!B44,[25]M11!B44,[25]M12!B44)</f>
        <v>0</v>
      </c>
      <c r="C60" s="255">
        <f>SUM([25]M01!C44,[25]M02!C44,[25]M03!C44,[25]M04!C44,[25]M05!C44,[25]M06!C44,[25]M07!C44,[25]M08!C44,[25]M09!C44,[25]M10!C44,[25]M11!C44,[25]M12!C44)</f>
        <v>0</v>
      </c>
      <c r="D60" s="255">
        <f>SUM([25]M01!D44,[25]M02!D44,[25]M03!D44,[25]M04!D44,[25]M05!D44,[25]M06!D44,[25]M07!D44,[25]M08!D44,[25]M09!D44,[25]M10!D44,[25]M11!D44,[25]M12!D44)</f>
        <v>0</v>
      </c>
      <c r="E60" s="255">
        <f>SUM([25]M01!E44,[25]M02!E44,[25]M03!E44,[25]M04!E44,[25]M05!E44,[25]M06!E44,[25]M07!E44,[25]M08!E44,[25]M09!E44,[25]M10!E44,[25]M11!E44,[25]M12!E44)</f>
        <v>0</v>
      </c>
      <c r="F60" s="255">
        <f>SUM([25]M01!F44,[25]M02!F44,[25]M03!F44,[25]M04!F44,[25]M05!F44,[25]M06!F44,[25]M07!F44,[25]M08!F44,[25]M09!F44,[25]M10!F44,[25]M11!F44,[25]M12!F44)</f>
        <v>0</v>
      </c>
      <c r="G60" s="255">
        <f>SUM([25]M01!G44,[25]M02!G44,[25]M03!G44,[25]M04!G44,[25]M05!G44,[25]M06!G44,[25]M07!G44,[25]M08!G44,[25]M09!G44,[25]M10!G44,[25]M11!G44,[25]M12!G44)</f>
        <v>777.87986946100932</v>
      </c>
      <c r="H60" s="255">
        <f>SUM([25]M01!H44,[25]M02!H44,[25]M03!H44,[25]M04!H44,[25]M05!H44,[25]M06!H44,[25]M07!H44,[25]M08!H44,[25]M09!H44,[25]M10!H44,[25]M11!H44,[25]M12!H44)</f>
        <v>9136.5991473960366</v>
      </c>
      <c r="I60" s="255">
        <f>SUM([25]M01!I44,[25]M02!I44,[25]M03!I44,[25]M04!I44,[25]M05!I44,[25]M06!I44,[25]M07!I44,[25]M08!I44,[25]M09!I44,[25]M10!I44,[25]M11!I44,[25]M12!I44)</f>
        <v>0</v>
      </c>
      <c r="J60" s="255">
        <f>SUM([25]M01!J44,[25]M02!J44,[25]M03!J44,[25]M04!J44,[25]M05!J44,[25]M06!J44,[25]M07!J44,[25]M08!J44,[25]M09!J44,[25]M10!J44,[25]M11!J44,[25]M12!J44)</f>
        <v>23.491508884470424</v>
      </c>
      <c r="K60" s="256">
        <f>SUM([25]M01!K44,[25]M02!K44,[25]M03!K44,[25]M04!K44,[25]M05!K44,[25]M06!K44,[25]M07!K44,[25]M08!K44,[25]M09!K44,[25]M10!K44,[25]M11!K44,[25]M12!K44)</f>
        <v>0</v>
      </c>
      <c r="L60" s="257">
        <f>SUM(B60:K60)</f>
        <v>9937.9705257415153</v>
      </c>
      <c r="M60" s="258">
        <f>L60/(L61+L60)</f>
        <v>0.277958425596807</v>
      </c>
      <c r="N60" s="198"/>
    </row>
    <row r="61" spans="1:14" ht="15" customHeight="1" x14ac:dyDescent="0.25">
      <c r="A61" s="260" t="s">
        <v>291</v>
      </c>
      <c r="B61" s="261">
        <f>SUM([25]M01!B45,[25]M02!B45,[25]M03!B45,[25]M04!B45,[25]M05!B45,[25]M06!B45,[25]M07!B45,[25]M08!B45,[25]M09!B45,[25]M10!B45,[25]M11!B45,[25]M12!B45)</f>
        <v>247.08880189997714</v>
      </c>
      <c r="C61" s="262">
        <f>SUM([25]M01!C45,[25]M02!C45,[25]M03!C45,[25]M04!C45,[25]M05!C45,[25]M06!C45,[25]M07!C45,[25]M08!C45,[25]M09!C45,[25]M10!C45,[25]M11!C45,[25]M12!C45)</f>
        <v>0</v>
      </c>
      <c r="D61" s="262">
        <f>SUM([25]M01!D45,[25]M02!D45,[25]M03!D45,[25]M04!D45,[25]M05!D45,[25]M06!D45,[25]M07!D45,[25]M08!D45,[25]M09!D45,[25]M10!D45,[25]M11!D45,[25]M12!D45)</f>
        <v>1.1349601811251642</v>
      </c>
      <c r="E61" s="262">
        <f>SUM([25]M01!E45,[25]M02!E45,[25]M03!E45,[25]M04!E45,[25]M05!E45,[25]M06!E45,[25]M07!E45,[25]M08!E45,[25]M09!E45,[25]M10!E45,[25]M11!E45,[25]M12!E45)</f>
        <v>1461.5800279796465</v>
      </c>
      <c r="F61" s="262">
        <f>SUM([25]M01!F45,[25]M02!F45,[25]M03!F45,[25]M04!F45,[25]M05!F45,[25]M06!F45,[25]M07!F45,[25]M08!F45,[25]M09!F45,[25]M10!F45,[25]M11!F45,[25]M12!F45)</f>
        <v>5020.5971467257405</v>
      </c>
      <c r="G61" s="262">
        <f>SUM([25]M01!G45,[25]M02!G45,[25]M03!G45,[25]M04!G45,[25]M05!G45,[25]M06!G45,[25]M07!G45,[25]M08!G45,[25]M09!G45,[25]M10!G45,[25]M11!G45,[25]M12!G45)</f>
        <v>2422.6587998707892</v>
      </c>
      <c r="H61" s="262">
        <f>SUM([25]M01!H45,[25]M02!H45,[25]M03!H45,[25]M04!H45,[25]M05!H45,[25]M06!H45,[25]M07!H45,[25]M08!H45,[25]M09!H45,[25]M10!H45,[25]M11!H45,[25]M12!H45)</f>
        <v>13883.580858749749</v>
      </c>
      <c r="I61" s="262">
        <f>SUM([25]M01!I45,[25]M02!I45,[25]M03!I45,[25]M04!I45,[25]M05!I45,[25]M06!I45,[25]M07!I45,[25]M08!I45,[25]M09!I45,[25]M10!I45,[25]M11!I45,[25]M12!I45)</f>
        <v>16.068490334216929</v>
      </c>
      <c r="J61" s="262">
        <f>SUM([25]M01!J45,[25]M02!J45,[25]M03!J45,[25]M04!J45,[25]M05!J45,[25]M06!J45,[25]M07!J45,[25]M08!J45,[25]M09!J45,[25]M10!J45,[25]M11!J45,[25]M12!J45)</f>
        <v>1870.253249048523</v>
      </c>
      <c r="K61" s="263">
        <f>SUM([25]M01!K45,[25]M02!K45,[25]M03!K45,[25]M04!K45,[25]M05!K45,[25]M06!K45,[25]M07!K45,[25]M08!K45,[25]M09!K45,[25]M10!K45,[25]M11!K45,[25]M12!K45)</f>
        <v>892.50941920392995</v>
      </c>
      <c r="L61" s="264">
        <f>SUM(B61:K61)</f>
        <v>25815.471753993697</v>
      </c>
      <c r="M61" s="265">
        <f>L61/(L60+L61)</f>
        <v>0.72204157440319283</v>
      </c>
      <c r="N61" s="198"/>
    </row>
    <row r="62" spans="1:14" ht="20.25" hidden="1" customHeight="1" x14ac:dyDescent="0.25">
      <c r="A62" s="245" t="s">
        <v>292</v>
      </c>
      <c r="B62" s="266"/>
      <c r="C62" s="266"/>
      <c r="D62" s="266"/>
      <c r="E62" s="266"/>
      <c r="F62" s="266"/>
      <c r="G62" s="267">
        <f>SUM([25]M01!G46,[25]M02!G46,[25]M03!G46,[25]M04!G46,[25]M05!G46,[25]M06!G46,[25]M07!G46,[25]M08!G46,[25]M09!G46,[25]M10!G46,[25]M11!G46,[25]M12!G46)</f>
        <v>0</v>
      </c>
      <c r="H62" s="268">
        <f>G62/L51</f>
        <v>0</v>
      </c>
      <c r="I62" s="266"/>
      <c r="J62" s="266"/>
      <c r="K62" s="266"/>
      <c r="L62" s="244"/>
      <c r="N62" s="198"/>
    </row>
    <row r="63" spans="1:14" ht="15" customHeight="1" x14ac:dyDescent="0.25">
      <c r="A63" s="266"/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44"/>
      <c r="N63" s="198"/>
    </row>
    <row r="64" spans="1:14" ht="20.25" customHeight="1" x14ac:dyDescent="0.25">
      <c r="A64" s="269" t="s">
        <v>293</v>
      </c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51">
        <f>L65+L66</f>
        <v>91661.384796919214</v>
      </c>
      <c r="M64" s="271">
        <f>L64/(B3+B7)</f>
        <v>1</v>
      </c>
      <c r="N64" s="272"/>
    </row>
    <row r="65" spans="1:14" ht="15" customHeight="1" x14ac:dyDescent="0.25">
      <c r="A65" s="273" t="s">
        <v>218</v>
      </c>
      <c r="B65" s="274">
        <f>B54+B57</f>
        <v>4108.481233537651</v>
      </c>
      <c r="C65" s="275">
        <f t="shared" ref="C65:K65" si="2">C54+C57</f>
        <v>6680.1054897864597</v>
      </c>
      <c r="D65" s="275">
        <f t="shared" si="2"/>
        <v>2880.6183248126799</v>
      </c>
      <c r="E65" s="275">
        <f t="shared" si="2"/>
        <v>5569.4029834403536</v>
      </c>
      <c r="F65" s="275">
        <f t="shared" si="2"/>
        <v>5615.189197098518</v>
      </c>
      <c r="G65" s="275">
        <f t="shared" si="2"/>
        <v>1224.8998357378039</v>
      </c>
      <c r="H65" s="275">
        <f t="shared" si="2"/>
        <v>876.3374079945022</v>
      </c>
      <c r="I65" s="275">
        <f t="shared" si="2"/>
        <v>1487.9732598680721</v>
      </c>
      <c r="J65" s="275">
        <f t="shared" si="2"/>
        <v>7245.6527448474681</v>
      </c>
      <c r="K65" s="276">
        <f t="shared" si="2"/>
        <v>3446.8992849052893</v>
      </c>
      <c r="L65" s="257">
        <f>SUM(B65:K65)</f>
        <v>39135.559762028795</v>
      </c>
      <c r="M65" s="258">
        <f>L65/(L66+L65)</f>
        <v>0.42695798071058777</v>
      </c>
      <c r="N65" s="272"/>
    </row>
    <row r="66" spans="1:14" ht="15" customHeight="1" x14ac:dyDescent="0.25">
      <c r="A66" s="277" t="s">
        <v>277</v>
      </c>
      <c r="B66" s="278">
        <f>B55+B58+B60+B61</f>
        <v>342.35920012844571</v>
      </c>
      <c r="C66" s="279">
        <f t="shared" ref="C66:K66" si="3">C55+C58+C60+C61</f>
        <v>0</v>
      </c>
      <c r="D66" s="279">
        <f t="shared" si="3"/>
        <v>1.5673294799101627</v>
      </c>
      <c r="E66" s="279">
        <f t="shared" si="3"/>
        <v>2331.0230660136876</v>
      </c>
      <c r="F66" s="279">
        <f t="shared" si="3"/>
        <v>7454.4853480247893</v>
      </c>
      <c r="G66" s="279">
        <f t="shared" si="3"/>
        <v>4812.2113030933042</v>
      </c>
      <c r="H66" s="279">
        <f t="shared" si="3"/>
        <v>33690.817300207447</v>
      </c>
      <c r="I66" s="279">
        <f t="shared" si="3"/>
        <v>22.189869756930548</v>
      </c>
      <c r="J66" s="279">
        <f t="shared" si="3"/>
        <v>2638.6558461972932</v>
      </c>
      <c r="K66" s="280">
        <f t="shared" si="3"/>
        <v>1232.5157719886124</v>
      </c>
      <c r="L66" s="264">
        <f>SUM(B66:K66)</f>
        <v>52525.825034890426</v>
      </c>
      <c r="M66" s="265">
        <f>L66/(L65+L66)</f>
        <v>0.57304201928941234</v>
      </c>
      <c r="N66" s="272"/>
    </row>
    <row r="67" spans="1:14" ht="15" customHeight="1" x14ac:dyDescent="0.25">
      <c r="B67" s="268">
        <f>B65/$L$64</f>
        <v>4.4822377958179609E-2</v>
      </c>
      <c r="C67" s="268">
        <f t="shared" ref="C67:K67" si="4">C65/$L$64</f>
        <v>7.2878077334164182E-2</v>
      </c>
      <c r="D67" s="268">
        <f t="shared" si="4"/>
        <v>3.1426738000902413E-2</v>
      </c>
      <c r="E67" s="268">
        <f t="shared" si="4"/>
        <v>6.0760624507033893E-2</v>
      </c>
      <c r="F67" s="268">
        <f t="shared" si="4"/>
        <v>6.1260139256452163E-2</v>
      </c>
      <c r="G67" s="268">
        <f t="shared" si="4"/>
        <v>1.336331366203594E-2</v>
      </c>
      <c r="H67" s="268">
        <f t="shared" si="4"/>
        <v>9.5605953361502828E-3</v>
      </c>
      <c r="I67" s="268">
        <f t="shared" si="4"/>
        <v>1.6233370935479077E-2</v>
      </c>
      <c r="J67" s="268">
        <f t="shared" si="4"/>
        <v>7.9048039268669198E-2</v>
      </c>
      <c r="K67" s="268">
        <f t="shared" si="4"/>
        <v>3.7604704451521025E-2</v>
      </c>
      <c r="N67" s="198"/>
    </row>
    <row r="68" spans="1:14" ht="15" customHeight="1" x14ac:dyDescent="0.25">
      <c r="B68" s="268">
        <f t="shared" ref="B68:K68" si="5">B66/$L$64</f>
        <v>3.7350428524177454E-3</v>
      </c>
      <c r="C68" s="268">
        <f t="shared" si="5"/>
        <v>0</v>
      </c>
      <c r="D68" s="268">
        <f t="shared" si="5"/>
        <v>1.7099125039215439E-5</v>
      </c>
      <c r="E68" s="268">
        <f t="shared" si="5"/>
        <v>2.5430807871582958E-2</v>
      </c>
      <c r="F68" s="268">
        <f t="shared" si="5"/>
        <v>8.1326344398359326E-2</v>
      </c>
      <c r="G68" s="268">
        <f t="shared" si="5"/>
        <v>5.2499875642889535E-2</v>
      </c>
      <c r="H68" s="268">
        <f t="shared" si="5"/>
        <v>0.36755736753106322</v>
      </c>
      <c r="I68" s="268">
        <f t="shared" si="5"/>
        <v>2.4208525548783069E-4</v>
      </c>
      <c r="J68" s="268">
        <f t="shared" si="5"/>
        <v>2.8786995222070656E-2</v>
      </c>
      <c r="K68" s="268">
        <f t="shared" si="5"/>
        <v>1.3446401390501772E-2</v>
      </c>
      <c r="N68" s="198"/>
    </row>
    <row r="69" spans="1:14" ht="15" customHeight="1" x14ac:dyDescent="0.25"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2"/>
      <c r="M69" s="283"/>
    </row>
    <row r="70" spans="1:14" ht="15" customHeight="1" x14ac:dyDescent="0.25">
      <c r="B70" s="281"/>
      <c r="C70" s="281"/>
      <c r="D70" s="281"/>
      <c r="E70" s="281"/>
      <c r="F70" s="281"/>
      <c r="G70" s="281"/>
      <c r="H70" s="281"/>
      <c r="I70" s="281"/>
      <c r="J70" s="281"/>
      <c r="K70" s="281"/>
    </row>
    <row r="71" spans="1:14" ht="15" customHeight="1" x14ac:dyDescent="0.25"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2"/>
    </row>
    <row r="72" spans="1:14" ht="15" customHeight="1" x14ac:dyDescent="0.25">
      <c r="B72" s="281"/>
      <c r="C72" s="281"/>
      <c r="D72" s="281"/>
      <c r="E72" s="281"/>
      <c r="F72" s="281"/>
      <c r="G72" s="281"/>
      <c r="H72" s="281"/>
      <c r="I72" s="281"/>
      <c r="J72" s="281"/>
      <c r="K72" s="281"/>
      <c r="L72" s="282"/>
    </row>
  </sheetData>
  <conditionalFormatting sqref="B29:K30">
    <cfRule type="cellIs" dxfId="12" priority="16" operator="equal">
      <formula>0</formula>
    </cfRule>
  </conditionalFormatting>
  <conditionalFormatting sqref="B44:K45">
    <cfRule type="cellIs" dxfId="11" priority="1" operator="equal">
      <formula>0</formula>
    </cfRule>
  </conditionalFormatting>
  <conditionalFormatting sqref="B19:L20 B38:K38">
    <cfRule type="cellIs" dxfId="10" priority="18" operator="equal">
      <formula>0</formula>
    </cfRule>
  </conditionalFormatting>
  <conditionalFormatting sqref="B22:L23">
    <cfRule type="cellIs" dxfId="9" priority="11" operator="equal">
      <formula>0</formula>
    </cfRule>
  </conditionalFormatting>
  <conditionalFormatting sqref="B25:L27">
    <cfRule type="cellIs" dxfId="8" priority="14" operator="equal">
      <formula>0</formula>
    </cfRule>
  </conditionalFormatting>
  <conditionalFormatting sqref="B54:L55">
    <cfRule type="cellIs" dxfId="7" priority="7" operator="equal">
      <formula>0</formula>
    </cfRule>
  </conditionalFormatting>
  <conditionalFormatting sqref="B57:L58">
    <cfRule type="cellIs" dxfId="6" priority="6" operator="equal">
      <formula>0</formula>
    </cfRule>
  </conditionalFormatting>
  <conditionalFormatting sqref="B60:L61">
    <cfRule type="cellIs" dxfId="5" priority="5" operator="equal">
      <formula>0</formula>
    </cfRule>
  </conditionalFormatting>
  <conditionalFormatting sqref="B65:L66">
    <cfRule type="cellIs" dxfId="4" priority="3" operator="equal">
      <formula>0</formula>
    </cfRule>
  </conditionalFormatting>
  <conditionalFormatting sqref="L51">
    <cfRule type="cellIs" dxfId="3" priority="2" stopIfTrue="1" operator="notEqual">
      <formula>$M$51</formula>
    </cfRule>
  </conditionalFormatting>
  <conditionalFormatting sqref="M51">
    <cfRule type="cellIs" dxfId="2" priority="8" stopIfTrue="1" operator="notEqual">
      <formula>$L$51</formula>
    </cfRule>
  </conditionalFormatting>
  <conditionalFormatting sqref="N12:N13">
    <cfRule type="cellIs" dxfId="1" priority="10" stopIfTrue="1" operator="notEqual">
      <formula>8760</formula>
    </cfRule>
  </conditionalFormatting>
  <conditionalFormatting sqref="N14">
    <cfRule type="cellIs" dxfId="0" priority="9" stopIfTrue="1" operator="notEqual">
      <formula>1</formula>
    </cfRule>
  </conditionalFormatting>
  <printOptions horizontalCentered="1"/>
  <pageMargins left="0.39370078740157483" right="0.39370078740157483" top="0.98425196850393704" bottom="0.39370078740157483" header="0.59055118110236227" footer="0.31496062992125984"/>
  <pageSetup paperSize="9" scale="76" orientation="portrait" r:id="rId1"/>
  <headerFooter>
    <oddHeader>&amp;C&amp;Z&amp;F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Datos fijos AÑO 1</vt:lpstr>
      <vt:lpstr>Datos fijos AÑO 2</vt:lpstr>
      <vt:lpstr>Datos fijos AÑO 3</vt:lpstr>
      <vt:lpstr>Datos fijos AÑO 4</vt:lpstr>
      <vt:lpstr>CUSPT Equivalente - Generadores</vt:lpstr>
      <vt:lpstr>CUSPT AÑO 1 </vt:lpstr>
      <vt:lpstr>CUSPT AÑO 2</vt:lpstr>
      <vt:lpstr>CUSPT AÑO 3</vt:lpstr>
      <vt:lpstr>CUSPT AÑO 4  </vt:lpstr>
      <vt:lpstr>'CUSPT AÑO 1 '!Área_de_impresión</vt:lpstr>
      <vt:lpstr>'CUSPT AÑO 2'!Área_de_impresión</vt:lpstr>
      <vt:lpstr>'CUSPT AÑO 3'!Área_de_impresión</vt:lpstr>
      <vt:lpstr>'CUSPT AÑO 4  '!Área_de_impresión</vt:lpstr>
      <vt:lpstr>'CUSPT Equivalente - Generadores'!Área_de_impresión</vt:lpstr>
      <vt:lpstr>'Datos fijos AÑO 1'!Área_de_impresión</vt:lpstr>
      <vt:lpstr>'Datos fijos AÑO 2'!Área_de_impresión</vt:lpstr>
      <vt:lpstr>'Datos fijos AÑO 3'!Área_de_impresión</vt:lpstr>
      <vt:lpstr>'Datos fijos AÑO 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Hernandez Cárdenas</dc:creator>
  <cp:lastModifiedBy>Rebeca Flores</cp:lastModifiedBy>
  <dcterms:created xsi:type="dcterms:W3CDTF">2022-09-01T08:17:20Z</dcterms:created>
  <dcterms:modified xsi:type="dcterms:W3CDTF">2023-04-19T18:57:50Z</dcterms:modified>
</cp:coreProperties>
</file>