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edina\Desktop\carpeta 3\Pliego Trifario 2021 -2025 ref. 18267\Cargos de Conexion\"/>
    </mc:Choice>
  </mc:AlternateContent>
  <xr:revisionPtr revIDLastSave="0" documentId="13_ncr:1_{2B55618C-2442-4DB1-9A02-FE860D23ABBC}" xr6:coauthVersionLast="47" xr6:coauthVersionMax="47" xr10:uidLastSave="{00000000-0000-0000-0000-000000000000}"/>
  <bookViews>
    <workbookView xWindow="28680" yWindow="-120" windowWidth="29040" windowHeight="15720" tabRatio="891" activeTab="9" xr2:uid="{00000000-000D-0000-FFFF-FFFF00000000}"/>
  </bookViews>
  <sheets>
    <sheet name="Resumen" sheetId="48" r:id="rId1"/>
    <sheet name="CX cxj Año1 " sheetId="13" r:id="rId2"/>
    <sheet name="CX cxj Año2" sheetId="62" r:id="rId3"/>
    <sheet name="CX cxj Año3" sheetId="63" r:id="rId4"/>
    <sheet name="CX cxj Año4" sheetId="61" r:id="rId5"/>
    <sheet name="VERIFICACIÓN DE INGRESOS" sheetId="81" r:id="rId6"/>
    <sheet name=" VNR" sheetId="1" r:id="rId7"/>
    <sheet name="SALIDAS Y TRANSFORMACION" sheetId="20" r:id="rId8"/>
    <sheet name="Plan de Expansión" sheetId="84" r:id="rId9"/>
    <sheet name="N de Instalaciones" sheetId="3" r:id="rId10"/>
    <sheet name="VNR APROBADO" sheetId="78" r:id="rId11"/>
    <sheet name="IMP Existente APROBADO" sheetId="80" r:id="rId12"/>
    <sheet name="IPCT VNR_FA" sheetId="68" r:id="rId13"/>
    <sheet name="Parámetros de eficiencia" sheetId="52" r:id="rId14"/>
    <sheet name="Activos Reconocidos" sheetId="71" state="hidden" r:id="rId15"/>
    <sheet name=" IMP Existente 2017 2021" sheetId="69" state="hidden" r:id="rId16"/>
    <sheet name="Activos Reconocidos APROBADOS" sheetId="79" state="hidden" r:id="rId17"/>
    <sheet name="VNR consulta (015 17)" sheetId="66" state="hidden" r:id="rId18"/>
    <sheet name="Ingreso Conexion (1er sem)" sheetId="82" state="hidden" r:id="rId19"/>
    <sheet name="LL.SANCHEZ CONEX 230" sheetId="76" state="hidden" r:id="rId20"/>
    <sheet name="CHORRERA CONEX 230" sheetId="75" state="hidden" r:id="rId21"/>
    <sheet name="CH. AZUL CONEX 115" sheetId="77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18">#REF!</definedName>
    <definedName name="\0" localSheetId="5">#REF!</definedName>
    <definedName name="\0">#REF!</definedName>
    <definedName name="\a" localSheetId="18">#REF!</definedName>
    <definedName name="\a" localSheetId="5">#REF!</definedName>
    <definedName name="\a">#REF!</definedName>
    <definedName name="\b" localSheetId="18">#REF!</definedName>
    <definedName name="\b" localSheetId="5">#REF!</definedName>
    <definedName name="\b">#REF!</definedName>
    <definedName name="\c" localSheetId="18">#REF!</definedName>
    <definedName name="\c" localSheetId="5">#REF!</definedName>
    <definedName name="\c">#REF!</definedName>
    <definedName name="\d" localSheetId="18">#REF!</definedName>
    <definedName name="\d" localSheetId="5">#REF!</definedName>
    <definedName name="\d">#REF!</definedName>
    <definedName name="\e" localSheetId="18">#REF!</definedName>
    <definedName name="\e" localSheetId="5">#REF!</definedName>
    <definedName name="\e">#REF!</definedName>
    <definedName name="\f" localSheetId="18">#REF!</definedName>
    <definedName name="\f" localSheetId="5">#REF!</definedName>
    <definedName name="\f">#REF!</definedName>
    <definedName name="\g" localSheetId="18">#REF!</definedName>
    <definedName name="\g" localSheetId="5">#REF!</definedName>
    <definedName name="\g">#REF!</definedName>
    <definedName name="\h" localSheetId="18">#REF!</definedName>
    <definedName name="\h" localSheetId="5">#REF!</definedName>
    <definedName name="\h">#REF!</definedName>
    <definedName name="\i" localSheetId="18">#REF!</definedName>
    <definedName name="\i" localSheetId="5">#REF!</definedName>
    <definedName name="\i">#REF!</definedName>
    <definedName name="\j" localSheetId="18">#REF!</definedName>
    <definedName name="\j" localSheetId="5">#REF!</definedName>
    <definedName name="\j">#REF!</definedName>
    <definedName name="\k" localSheetId="18">#REF!</definedName>
    <definedName name="\k" localSheetId="5">#REF!</definedName>
    <definedName name="\k">#REF!</definedName>
    <definedName name="\m" localSheetId="18">#REF!</definedName>
    <definedName name="\m" localSheetId="5">#REF!</definedName>
    <definedName name="\m">#REF!</definedName>
    <definedName name="\r" localSheetId="18">#REF!</definedName>
    <definedName name="\r" localSheetId="5">#REF!</definedName>
    <definedName name="\r">#REF!</definedName>
    <definedName name="\w" localSheetId="18">#REF!</definedName>
    <definedName name="\w" localSheetId="5">#REF!</definedName>
    <definedName name="\w">#REF!</definedName>
    <definedName name="\z" localSheetId="18">#REF!</definedName>
    <definedName name="\z" localSheetId="5">#REF!</definedName>
    <definedName name="\z">#REF!</definedName>
    <definedName name="__CFP1" localSheetId="18">#REF!</definedName>
    <definedName name="__CFP1" localSheetId="5">#REF!</definedName>
    <definedName name="__CFP1">#REF!</definedName>
    <definedName name="__COP1" localSheetId="18">#REF!</definedName>
    <definedName name="__COP1" localSheetId="5">#REF!</definedName>
    <definedName name="__COP1">#REF!</definedName>
    <definedName name="__ERP1" localSheetId="18">#REF!</definedName>
    <definedName name="__ERP1" localSheetId="5">#REF!</definedName>
    <definedName name="__ERP1">#REF!</definedName>
    <definedName name="__ESP1" localSheetId="18">#REF!</definedName>
    <definedName name="__ESP1" localSheetId="5">#REF!</definedName>
    <definedName name="__ESP1">#REF!</definedName>
    <definedName name="__OAP1" localSheetId="18">#REF!</definedName>
    <definedName name="__OAP1" localSheetId="5">#REF!</definedName>
    <definedName name="__OAP1">#REF!</definedName>
    <definedName name="__PRO2" localSheetId="18">#REF!</definedName>
    <definedName name="__PRO2" localSheetId="5">#REF!</definedName>
    <definedName name="__PRO2">#REF!</definedName>
    <definedName name="__PRO3" localSheetId="18">#REF!</definedName>
    <definedName name="__PRO3" localSheetId="5">#REF!</definedName>
    <definedName name="__PRO3">#REF!</definedName>
    <definedName name="__PRO4" localSheetId="18">#REF!</definedName>
    <definedName name="__PRO4" localSheetId="5">#REF!</definedName>
    <definedName name="__PRO4">#REF!</definedName>
    <definedName name="__RFP1" localSheetId="18">#REF!</definedName>
    <definedName name="__RFP1" localSheetId="5">#REF!</definedName>
    <definedName name="__RFP1">#REF!</definedName>
    <definedName name="__SE1" localSheetId="18">#REF!</definedName>
    <definedName name="__SE1" localSheetId="5">#REF!</definedName>
    <definedName name="__SE1">#REF!</definedName>
    <definedName name="__SE11" localSheetId="18">#REF!</definedName>
    <definedName name="__SE11" localSheetId="5">#REF!</definedName>
    <definedName name="__SE11">#REF!</definedName>
    <definedName name="__SE12" localSheetId="18">#REF!</definedName>
    <definedName name="__SE12" localSheetId="5">#REF!</definedName>
    <definedName name="__SE12">#REF!</definedName>
    <definedName name="__SE13" localSheetId="18">#REF!</definedName>
    <definedName name="__SE13" localSheetId="5">#REF!</definedName>
    <definedName name="__SE13">#REF!</definedName>
    <definedName name="__SE14" localSheetId="18">#REF!</definedName>
    <definedName name="__SE14" localSheetId="5">#REF!</definedName>
    <definedName name="__SE14">#REF!</definedName>
    <definedName name="__SE15" localSheetId="18">#REF!</definedName>
    <definedName name="__SE15" localSheetId="5">#REF!</definedName>
    <definedName name="__SE15">#REF!</definedName>
    <definedName name="__SE16" localSheetId="18">#REF!</definedName>
    <definedName name="__SE16" localSheetId="5">#REF!</definedName>
    <definedName name="__SE16">#REF!</definedName>
    <definedName name="__SE2" localSheetId="18">#REF!</definedName>
    <definedName name="__SE2" localSheetId="5">#REF!</definedName>
    <definedName name="__SE2">#REF!</definedName>
    <definedName name="__SE3" localSheetId="18">#REF!</definedName>
    <definedName name="__SE3" localSheetId="5">#REF!</definedName>
    <definedName name="__SE3">#REF!</definedName>
    <definedName name="__SE4" localSheetId="18">#REF!</definedName>
    <definedName name="__SE4" localSheetId="5">#REF!</definedName>
    <definedName name="__SE4">#REF!</definedName>
    <definedName name="__SE5" localSheetId="18">#REF!</definedName>
    <definedName name="__SE5" localSheetId="5">#REF!</definedName>
    <definedName name="__SE5">#REF!</definedName>
    <definedName name="__SE6" localSheetId="18">#REF!</definedName>
    <definedName name="__SE6" localSheetId="5">#REF!</definedName>
    <definedName name="__SE6">#REF!</definedName>
    <definedName name="__TST1" localSheetId="18">#REF!</definedName>
    <definedName name="__TST1" localSheetId="5">#REF!</definedName>
    <definedName name="__TST1">#REF!</definedName>
    <definedName name="__TST2" localSheetId="18">#REF!</definedName>
    <definedName name="__TST2" localSheetId="5">#REF!</definedName>
    <definedName name="__TST2">#REF!</definedName>
    <definedName name="__TST3" localSheetId="18">#REF!</definedName>
    <definedName name="__TST3" localSheetId="5">#REF!</definedName>
    <definedName name="__TST3">#REF!</definedName>
    <definedName name="_2" localSheetId="18">#REF!</definedName>
    <definedName name="_2" localSheetId="5">#REF!</definedName>
    <definedName name="_2">#REF!</definedName>
    <definedName name="_CFP1" localSheetId="18">#REF!</definedName>
    <definedName name="_CFP1" localSheetId="5">#REF!</definedName>
    <definedName name="_CFP1">#REF!</definedName>
    <definedName name="_COP1" localSheetId="18">#REF!</definedName>
    <definedName name="_COP1" localSheetId="5">#REF!</definedName>
    <definedName name="_COP1">#REF!</definedName>
    <definedName name="_ERP1" localSheetId="18">#REF!</definedName>
    <definedName name="_ERP1" localSheetId="5">#REF!</definedName>
    <definedName name="_ERP1">#REF!</definedName>
    <definedName name="_ESP1" localSheetId="18">#REF!</definedName>
    <definedName name="_ESP1" localSheetId="5">#REF!</definedName>
    <definedName name="_ESP1">#REF!</definedName>
    <definedName name="_Fill" localSheetId="15" hidden="1">#REF!</definedName>
    <definedName name="_Fill" localSheetId="16" hidden="1">#REF!</definedName>
    <definedName name="_Fill" localSheetId="11" hidden="1">#REF!</definedName>
    <definedName name="_Fill" localSheetId="18" hidden="1">#REF!</definedName>
    <definedName name="_Fill" localSheetId="8" hidden="1">#REF!</definedName>
    <definedName name="_Fill" localSheetId="5" hidden="1">#REF!</definedName>
    <definedName name="_Fill" localSheetId="10" hidden="1">#REF!</definedName>
    <definedName name="_Fill" localSheetId="17" hidden="1">#REF!</definedName>
    <definedName name="_Fill" hidden="1">#REF!</definedName>
    <definedName name="_OAP1" localSheetId="18">#REF!</definedName>
    <definedName name="_OAP1" localSheetId="5">#REF!</definedName>
    <definedName name="_OAP1">#REF!</definedName>
    <definedName name="_PRO2" localSheetId="18">#REF!</definedName>
    <definedName name="_PRO2" localSheetId="5">#REF!</definedName>
    <definedName name="_PRO2">#REF!</definedName>
    <definedName name="_PRO3" localSheetId="18">#REF!</definedName>
    <definedName name="_PRO3" localSheetId="5">#REF!</definedName>
    <definedName name="_PRO3">#REF!</definedName>
    <definedName name="_PRO4" localSheetId="18">#REF!</definedName>
    <definedName name="_PRO4" localSheetId="5">#REF!</definedName>
    <definedName name="_PRO4">#REF!</definedName>
    <definedName name="_RFP1" localSheetId="18">#REF!</definedName>
    <definedName name="_RFP1" localSheetId="5">#REF!</definedName>
    <definedName name="_RFP1">#REF!</definedName>
    <definedName name="_SE1" localSheetId="18">#REF!</definedName>
    <definedName name="_SE1" localSheetId="5">#REF!</definedName>
    <definedName name="_SE1">#REF!</definedName>
    <definedName name="_SE11" localSheetId="18">#REF!</definedName>
    <definedName name="_SE11" localSheetId="5">#REF!</definedName>
    <definedName name="_SE11">#REF!</definedName>
    <definedName name="_SE12" localSheetId="18">#REF!</definedName>
    <definedName name="_SE12" localSheetId="5">#REF!</definedName>
    <definedName name="_SE12">#REF!</definedName>
    <definedName name="_SE13" localSheetId="18">#REF!</definedName>
    <definedName name="_SE13" localSheetId="5">#REF!</definedName>
    <definedName name="_SE13">#REF!</definedName>
    <definedName name="_SE14" localSheetId="18">#REF!</definedName>
    <definedName name="_SE14" localSheetId="5">#REF!</definedName>
    <definedName name="_SE14">#REF!</definedName>
    <definedName name="_SE15" localSheetId="18">#REF!</definedName>
    <definedName name="_SE15" localSheetId="5">#REF!</definedName>
    <definedName name="_SE15">#REF!</definedName>
    <definedName name="_SE16" localSheetId="18">#REF!</definedName>
    <definedName name="_SE16" localSheetId="5">#REF!</definedName>
    <definedName name="_SE16">#REF!</definedName>
    <definedName name="_SE2" localSheetId="18">#REF!</definedName>
    <definedName name="_SE2" localSheetId="5">#REF!</definedName>
    <definedName name="_SE2">#REF!</definedName>
    <definedName name="_SE3" localSheetId="18">#REF!</definedName>
    <definedName name="_SE3" localSheetId="5">#REF!</definedName>
    <definedName name="_SE3">#REF!</definedName>
    <definedName name="_SE4" localSheetId="18">#REF!</definedName>
    <definedName name="_SE4" localSheetId="5">#REF!</definedName>
    <definedName name="_SE4">#REF!</definedName>
    <definedName name="_SE5" localSheetId="18">#REF!</definedName>
    <definedName name="_SE5" localSheetId="5">#REF!</definedName>
    <definedName name="_SE5">#REF!</definedName>
    <definedName name="_SE6" localSheetId="18">#REF!</definedName>
    <definedName name="_SE6" localSheetId="5">#REF!</definedName>
    <definedName name="_SE6">#REF!</definedName>
    <definedName name="_TST1" localSheetId="18">#REF!</definedName>
    <definedName name="_TST1" localSheetId="5">#REF!</definedName>
    <definedName name="_TST1">#REF!</definedName>
    <definedName name="_TST2" localSheetId="18">#REF!</definedName>
    <definedName name="_TST2" localSheetId="5">#REF!</definedName>
    <definedName name="_TST2">#REF!</definedName>
    <definedName name="_TST3" localSheetId="18">#REF!</definedName>
    <definedName name="_TST3" localSheetId="5">#REF!</definedName>
    <definedName name="_TST3">#REF!</definedName>
    <definedName name="A_IMPRESIÓN_IM" localSheetId="18">#REF!</definedName>
    <definedName name="A_IMPRESIÓN_IM" localSheetId="5">#REF!</definedName>
    <definedName name="A_IMPRESIÓN_IM">#REF!</definedName>
    <definedName name="ActNetoHidro" localSheetId="15">' IMP Existente 2017 2021'!$D$26:$I$26</definedName>
    <definedName name="ActNetoHidro" localSheetId="16">'[1]IMPA Indicativo'!#REF!</definedName>
    <definedName name="ActNetoHidro" localSheetId="11">'IMP Existente APROBADO'!#REF!</definedName>
    <definedName name="ActNetoHidro" localSheetId="8">'[2]IMPA Indicativo'!#REF!</definedName>
    <definedName name="ActNetoHidro" localSheetId="10">'[1]IMPA Indicativo'!#REF!</definedName>
    <definedName name="ActNetoHidro">'[3]IMPA Indicativo'!$D$26:$I$26</definedName>
    <definedName name="ACTUAL" localSheetId="18">#REF!</definedName>
    <definedName name="ACTUAL" localSheetId="5">#REF!</definedName>
    <definedName name="ACTUAL">#REF!</definedName>
    <definedName name="ANOS" localSheetId="18">#REF!</definedName>
    <definedName name="ANOS" localSheetId="5">#REF!</definedName>
    <definedName name="ANOS">#REF!</definedName>
    <definedName name="ANOSHIS" localSheetId="18">#REF!</definedName>
    <definedName name="ANOSHIS" localSheetId="5">#REF!</definedName>
    <definedName name="ANOSHIS">#REF!</definedName>
    <definedName name="ANOUNO" localSheetId="18">#REF!</definedName>
    <definedName name="ANOUNO" localSheetId="5">#REF!</definedName>
    <definedName name="ANOUNO">#REF!</definedName>
    <definedName name="_xlnm.Extract" localSheetId="18">#REF!</definedName>
    <definedName name="_xlnm.Extract" localSheetId="5">#REF!</definedName>
    <definedName name="_xlnm.Extract">#REF!</definedName>
    <definedName name="_xlnm.Print_Area" localSheetId="15">' IMP Existente 2017 2021'!$B$62:$I$122</definedName>
    <definedName name="_xlnm.Print_Area" localSheetId="6">' VNR'!$A$64:$I$77</definedName>
    <definedName name="_xlnm.Print_Area" localSheetId="16">'Activos Reconocidos APROBADOS'!$B$2:$H$182</definedName>
    <definedName name="_xlnm.Print_Area" localSheetId="1">'CX cxj Año1 '!$A$1:$K$34</definedName>
    <definedName name="_xlnm.Print_Area" localSheetId="11">'IMP Existente APROBADO'!$B$1:$I$88</definedName>
    <definedName name="_xlnm.Print_Area" localSheetId="9">'N de Instalaciones'!$B$1:$O$22</definedName>
    <definedName name="_xlnm.Print_Area" localSheetId="13">'Parámetros de eficiencia'!$A$1:$H$10</definedName>
    <definedName name="_xlnm.Print_Area" localSheetId="8">'Plan de Expansión'!$A$1:$S$152</definedName>
    <definedName name="_xlnm.Print_Area" localSheetId="0">Resumen!$B$1:$E$56</definedName>
    <definedName name="_xlnm.Print_Area" localSheetId="7">'SALIDAS Y TRANSFORMACION'!$B$2:$N$75</definedName>
    <definedName name="ASSUMPTIONS" localSheetId="18">#REF!</definedName>
    <definedName name="ASSUMPTIONS" localSheetId="5">#REF!</definedName>
    <definedName name="ASSUMPTIONS">#REF!</definedName>
    <definedName name="BALANCE_SH" localSheetId="18">#REF!</definedName>
    <definedName name="BALANCE_SH" localSheetId="5">#REF!</definedName>
    <definedName name="BALANCE_SH">#REF!</definedName>
    <definedName name="Base_datos_IM" localSheetId="18">#REF!</definedName>
    <definedName name="Base_datos_IM" localSheetId="5">#REF!</definedName>
    <definedName name="Base_datos_IM">#REF!</definedName>
    <definedName name="_xlnm.Database" localSheetId="18">#REF!</definedName>
    <definedName name="_xlnm.Database" localSheetId="5">#REF!</definedName>
    <definedName name="_xlnm.Database">#REF!</definedName>
    <definedName name="BASIC_DATA" localSheetId="18">#REF!</definedName>
    <definedName name="BASIC_DATA" localSheetId="5">#REF!</definedName>
    <definedName name="BASIC_DATA">#REF!</definedName>
    <definedName name="BASICO" localSheetId="18">#REF!</definedName>
    <definedName name="BASICO" localSheetId="5">#REF!</definedName>
    <definedName name="BASICO">#REF!</definedName>
    <definedName name="BLANK" localSheetId="18">#REF!</definedName>
    <definedName name="BLANK" localSheetId="5">#REF!</definedName>
    <definedName name="BLANK">#REF!</definedName>
    <definedName name="Blev" localSheetId="18">#REF!</definedName>
    <definedName name="Blev" localSheetId="5">#REF!</definedName>
    <definedName name="Blev">#REF!</definedName>
    <definedName name="Bu" localSheetId="18">#REF!</definedName>
    <definedName name="Bu" localSheetId="5">#REF!</definedName>
    <definedName name="Bu">#REF!</definedName>
    <definedName name="CALCULAR" localSheetId="18">#REF!</definedName>
    <definedName name="CALCULAR" localSheetId="5">#REF!</definedName>
    <definedName name="CALCULAR">#REF!</definedName>
    <definedName name="CASH_FL" localSheetId="18">#REF!</definedName>
    <definedName name="CASH_FL" localSheetId="5">#REF!</definedName>
    <definedName name="CASH_FL">#REF!</definedName>
    <definedName name="CASH_FLOW_RPT" localSheetId="18">#REF!</definedName>
    <definedName name="CASH_FLOW_RPT" localSheetId="5">#REF!</definedName>
    <definedName name="CASH_FLOW_RPT">#REF!</definedName>
    <definedName name="CASH_RPT_BR_ROW" localSheetId="18">#REF!</definedName>
    <definedName name="CASH_RPT_BR_ROW" localSheetId="5">#REF!</definedName>
    <definedName name="CASH_RPT_BR_ROW">#REF!</definedName>
    <definedName name="CASH_RPT_HEADER" localSheetId="18">#REF!</definedName>
    <definedName name="CASH_RPT_HEADER" localSheetId="5">#REF!</definedName>
    <definedName name="CASH_RPT_HEADER">#REF!</definedName>
    <definedName name="CASHFLOW" localSheetId="18">#REF!</definedName>
    <definedName name="CASHFLOW" localSheetId="5">#REF!</definedName>
    <definedName name="CASHFLOW">#REF!</definedName>
    <definedName name="CBASE" localSheetId="18">#REF!</definedName>
    <definedName name="CBASE" localSheetId="5">#REF!</definedName>
    <definedName name="CBASE">#REF!</definedName>
    <definedName name="CCC" localSheetId="18">#REF!</definedName>
    <definedName name="CCC" localSheetId="5">#REF!</definedName>
    <definedName name="CCC">#REF!</definedName>
    <definedName name="CF_CY" localSheetId="18">#REF!</definedName>
    <definedName name="CF_CY" localSheetId="5">#REF!</definedName>
    <definedName name="CF_CY">#REF!</definedName>
    <definedName name="CFP" localSheetId="18">#REF!</definedName>
    <definedName name="CFP" localSheetId="5">#REF!</definedName>
    <definedName name="CFP">#REF!</definedName>
    <definedName name="CFPC" localSheetId="18">#REF!</definedName>
    <definedName name="CFPC" localSheetId="5">#REF!</definedName>
    <definedName name="CFPC">#REF!</definedName>
    <definedName name="CFPDATA" localSheetId="18">#REF!</definedName>
    <definedName name="CFPDATA" localSheetId="5">#REF!</definedName>
    <definedName name="CFPDATA">#REF!</definedName>
    <definedName name="CFPTITLES" localSheetId="18">#REF!</definedName>
    <definedName name="CFPTITLES" localSheetId="5">#REF!</definedName>
    <definedName name="CFPTITLES">#REF!</definedName>
    <definedName name="CFTITLE" localSheetId="18">#REF!</definedName>
    <definedName name="CFTITLE" localSheetId="5">#REF!</definedName>
    <definedName name="CFTITLE">#REF!</definedName>
    <definedName name="CFUNIT" localSheetId="18">#REF!</definedName>
    <definedName name="CFUNIT" localSheetId="5">#REF!</definedName>
    <definedName name="CFUNIT">#REF!</definedName>
    <definedName name="CHANGES" localSheetId="18">#REF!</definedName>
    <definedName name="CHANGES" localSheetId="5">#REF!</definedName>
    <definedName name="CHANGES">#REF!</definedName>
    <definedName name="CHECAMAC" localSheetId="18">#REF!</definedName>
    <definedName name="CHECAMAC" localSheetId="5">#REF!</definedName>
    <definedName name="CHECAMAC">#REF!</definedName>
    <definedName name="CHECAOPT" localSheetId="18">#REF!</definedName>
    <definedName name="CHECAOPT" localSheetId="5">#REF!</definedName>
    <definedName name="CHECAOPT">#REF!</definedName>
    <definedName name="CO_CY" localSheetId="18">#REF!</definedName>
    <definedName name="CO_CY" localSheetId="5">#REF!</definedName>
    <definedName name="CO_CY">#REF!</definedName>
    <definedName name="COLTOTAL" localSheetId="18">#REF!</definedName>
    <definedName name="COLTOTAL" localSheetId="5">#REF!</definedName>
    <definedName name="COLTOTAL">#REF!</definedName>
    <definedName name="COLWIDE" localSheetId="18">#REF!</definedName>
    <definedName name="COLWIDE" localSheetId="5">#REF!</definedName>
    <definedName name="COLWIDE">#REF!</definedName>
    <definedName name="CON_ACC_REC" localSheetId="18">#REF!</definedName>
    <definedName name="CON_ACC_REC" localSheetId="5">#REF!</definedName>
    <definedName name="CON_ACC_REC">#REF!</definedName>
    <definedName name="CON_ALL_REPORT" localSheetId="18">#REF!</definedName>
    <definedName name="CON_ALL_REPORT" localSheetId="5">#REF!</definedName>
    <definedName name="CON_ALL_REPORT">#REF!</definedName>
    <definedName name="CON_NETWORTH" localSheetId="18">#REF!</definedName>
    <definedName name="CON_NETWORTH" localSheetId="5">#REF!</definedName>
    <definedName name="CON_NETWORTH">#REF!</definedName>
    <definedName name="CON_PAS_COR" localSheetId="18">#REF!</definedName>
    <definedName name="CON_PAS_COR" localSheetId="5">#REF!</definedName>
    <definedName name="CON_PAS_COR">#REF!</definedName>
    <definedName name="CON_REPT_FOOTER" localSheetId="18">#REF!</definedName>
    <definedName name="CON_REPT_FOOTER" localSheetId="5">#REF!</definedName>
    <definedName name="CON_REPT_FOOTER">#REF!</definedName>
    <definedName name="CON_REPT_HEADER" localSheetId="18">#REF!</definedName>
    <definedName name="CON_REPT_HEADER" localSheetId="5">#REF!</definedName>
    <definedName name="CON_REPT_HEADER">#REF!</definedName>
    <definedName name="CON_REVENUE" localSheetId="18">#REF!</definedName>
    <definedName name="CON_REVENUE" localSheetId="5">#REF!</definedName>
    <definedName name="CON_REVENUE">#REF!</definedName>
    <definedName name="CON_RPT_BOR_COL" localSheetId="18">#REF!</definedName>
    <definedName name="CON_RPT_BOR_COL" localSheetId="5">#REF!</definedName>
    <definedName name="CON_RPT_BOR_COL">#REF!</definedName>
    <definedName name="CON_RPT_BOR_ROW" localSheetId="18">#REF!</definedName>
    <definedName name="CON_RPT_BOR_ROW" localSheetId="5">#REF!</definedName>
    <definedName name="CON_RPT_BOR_ROW">#REF!</definedName>
    <definedName name="CON_VOLUMES" localSheetId="18">#REF!</definedName>
    <definedName name="CON_VOLUMES" localSheetId="5">#REF!</definedName>
    <definedName name="CON_VOLUMES">#REF!</definedName>
    <definedName name="CONEX" localSheetId="18">#REF!</definedName>
    <definedName name="CONEX" localSheetId="5">#REF!</definedName>
    <definedName name="CONEX">#REF!</definedName>
    <definedName name="CONSOL_FIXED_AS" localSheetId="18">#REF!</definedName>
    <definedName name="CONSOL_FIXED_AS" localSheetId="5">#REF!</definedName>
    <definedName name="CONSOL_FIXED_AS">#REF!</definedName>
    <definedName name="CONSOL_FUENTE_I" localSheetId="18">#REF!</definedName>
    <definedName name="CONSOL_FUENTE_I" localSheetId="5">#REF!</definedName>
    <definedName name="CONSOL_FUENTE_I">#REF!</definedName>
    <definedName name="CONSOL_RPT" localSheetId="18">#REF!</definedName>
    <definedName name="CONSOL_RPT" localSheetId="5">#REF!</definedName>
    <definedName name="CONSOL_RPT">#REF!</definedName>
    <definedName name="CONSOLIDA" localSheetId="18">#REF!</definedName>
    <definedName name="CONSOLIDA" localSheetId="5">#REF!</definedName>
    <definedName name="CONSOLIDA">#REF!</definedName>
    <definedName name="CONSOLIDATION" localSheetId="18">#REF!</definedName>
    <definedName name="CONSOLIDATION" localSheetId="5">#REF!</definedName>
    <definedName name="CONSOLIDATION">#REF!</definedName>
    <definedName name="COP" localSheetId="18">#REF!</definedName>
    <definedName name="COP" localSheetId="5">#REF!</definedName>
    <definedName name="COP">#REF!</definedName>
    <definedName name="COPDATA" localSheetId="18">#REF!</definedName>
    <definedName name="COPDATA" localSheetId="5">#REF!</definedName>
    <definedName name="COPDATA">#REF!</definedName>
    <definedName name="COTITLE" localSheetId="18">#REF!</definedName>
    <definedName name="COTITLE" localSheetId="5">#REF!</definedName>
    <definedName name="COTITLE">#REF!</definedName>
    <definedName name="COUNIT" localSheetId="18">#REF!</definedName>
    <definedName name="COUNIT" localSheetId="5">#REF!</definedName>
    <definedName name="COUNIT">#REF!</definedName>
    <definedName name="_xlnm.Criteria" localSheetId="18">#REF!</definedName>
    <definedName name="_xlnm.Criteria" localSheetId="5">#REF!</definedName>
    <definedName name="_xlnm.Criteria">#REF!</definedName>
    <definedName name="Criterios_IM" localSheetId="18">#REF!</definedName>
    <definedName name="Criterios_IM" localSheetId="5">#REF!</definedName>
    <definedName name="Criterios_IM">#REF!</definedName>
    <definedName name="CSD" localSheetId="18">#REF!</definedName>
    <definedName name="CSD" localSheetId="5">#REF!</definedName>
    <definedName name="CSD">#REF!</definedName>
    <definedName name="CY_DOLAR" localSheetId="18">#REF!</definedName>
    <definedName name="CY_DOLAR" localSheetId="5">#REF!</definedName>
    <definedName name="CY_DOLAR">#REF!</definedName>
    <definedName name="CY_LOCAL" localSheetId="18">#REF!</definedName>
    <definedName name="CY_LOCAL" localSheetId="5">#REF!</definedName>
    <definedName name="CY_LOCAL">#REF!</definedName>
    <definedName name="DATOSE" localSheetId="18">#REF!</definedName>
    <definedName name="DATOSE" localSheetId="5">#REF!</definedName>
    <definedName name="DATOSE">#REF!</definedName>
    <definedName name="DBHH" localSheetId="18">#REF!</definedName>
    <definedName name="DBHH" localSheetId="5">#REF!</definedName>
    <definedName name="DBHH">#REF!</definedName>
    <definedName name="DBPC" localSheetId="18">#REF!</definedName>
    <definedName name="DBPC" localSheetId="5">#REF!</definedName>
    <definedName name="DBPC">#REF!</definedName>
    <definedName name="DBT" localSheetId="18">#REF!</definedName>
    <definedName name="DBT" localSheetId="5">#REF!</definedName>
    <definedName name="DBT">#REF!</definedName>
    <definedName name="DCOL" localSheetId="18">#REF!</definedName>
    <definedName name="DCOL" localSheetId="5">#REF!</definedName>
    <definedName name="DCOL">#REF!</definedName>
    <definedName name="DE" localSheetId="18">#REF!</definedName>
    <definedName name="DE" localSheetId="5">#REF!</definedName>
    <definedName name="DE">#REF!</definedName>
    <definedName name="DECI" localSheetId="18">#REF!</definedName>
    <definedName name="DECI" localSheetId="5">#REF!</definedName>
    <definedName name="DECI">#REF!</definedName>
    <definedName name="DENOMINATION" localSheetId="18">#REF!</definedName>
    <definedName name="DENOMINATION" localSheetId="5">#REF!</definedName>
    <definedName name="DENOMINATION">#REF!</definedName>
    <definedName name="DepAnualHidro">'Activos Reconocidos APROBADOS'!$D$251:$H$251</definedName>
    <definedName name="DepHidro">'Activos Reconocidos APROBADOS'!$D$251:$H$251</definedName>
    <definedName name="DEPRINT" localSheetId="18">#REF!</definedName>
    <definedName name="DEPRINT" localSheetId="5">#REF!</definedName>
    <definedName name="DEPRINT">#REF!</definedName>
    <definedName name="DEUDA" localSheetId="18">#REF!</definedName>
    <definedName name="DEUDA" localSheetId="5">#REF!</definedName>
    <definedName name="DEUDA">#REF!</definedName>
    <definedName name="DEUDAL" localSheetId="18">#REF!</definedName>
    <definedName name="DEUDAL" localSheetId="5">#REF!</definedName>
    <definedName name="DEUDAL">#REF!</definedName>
    <definedName name="DV" localSheetId="18">#REF!</definedName>
    <definedName name="DV" localSheetId="5">#REF!</definedName>
    <definedName name="DV">#REF!</definedName>
    <definedName name="ENTRY" localSheetId="18">#REF!</definedName>
    <definedName name="ENTRY" localSheetId="5">#REF!</definedName>
    <definedName name="ENTRY">#REF!</definedName>
    <definedName name="ER_CY" localSheetId="18">#REF!</definedName>
    <definedName name="ER_CY" localSheetId="5">#REF!</definedName>
    <definedName name="ER_CY">#REF!</definedName>
    <definedName name="ERHACTUAL" localSheetId="18">#REF!</definedName>
    <definedName name="ERHACTUAL" localSheetId="5">#REF!</definedName>
    <definedName name="ERHACTUAL">#REF!</definedName>
    <definedName name="ERHDATA10YEARS" localSheetId="18">#REF!</definedName>
    <definedName name="ERHDATA10YEARS" localSheetId="5">#REF!</definedName>
    <definedName name="ERHDATA10YEARS">#REF!</definedName>
    <definedName name="ERHDATA5" localSheetId="18">#REF!</definedName>
    <definedName name="ERHDATA5" localSheetId="5">#REF!</definedName>
    <definedName name="ERHDATA5">#REF!</definedName>
    <definedName name="ERHTITLES" localSheetId="18">#REF!</definedName>
    <definedName name="ERHTITLES" localSheetId="5">#REF!</definedName>
    <definedName name="ERHTITLES">#REF!</definedName>
    <definedName name="ERP" localSheetId="18">#REF!</definedName>
    <definedName name="ERP" localSheetId="5">#REF!</definedName>
    <definedName name="ERP">#REF!</definedName>
    <definedName name="ERP_LAST" localSheetId="18">#REF!</definedName>
    <definedName name="ERP_LAST" localSheetId="5">#REF!</definedName>
    <definedName name="ERP_LAST">#REF!</definedName>
    <definedName name="ERP0" localSheetId="18">#REF!</definedName>
    <definedName name="ERP0" localSheetId="5">#REF!</definedName>
    <definedName name="ERP0">#REF!</definedName>
    <definedName name="ERPC" localSheetId="18">#REF!</definedName>
    <definedName name="ERPC" localSheetId="5">#REF!</definedName>
    <definedName name="ERPC">#REF!</definedName>
    <definedName name="ERPDATA" localSheetId="18">#REF!</definedName>
    <definedName name="ERPDATA" localSheetId="5">#REF!</definedName>
    <definedName name="ERPDATA">#REF!</definedName>
    <definedName name="ERPTITLES" localSheetId="18">#REF!</definedName>
    <definedName name="ERPTITLES" localSheetId="5">#REF!</definedName>
    <definedName name="ERPTITLES">#REF!</definedName>
    <definedName name="ERPUNO" localSheetId="18">#REF!</definedName>
    <definedName name="ERPUNO" localSheetId="5">#REF!</definedName>
    <definedName name="ERPUNO">#REF!</definedName>
    <definedName name="ERPWP" localSheetId="18">#REF!</definedName>
    <definedName name="ERPWP" localSheetId="5">#REF!</definedName>
    <definedName name="ERPWP">#REF!</definedName>
    <definedName name="ERTITLE" localSheetId="18">#REF!</definedName>
    <definedName name="ERTITLE" localSheetId="5">#REF!</definedName>
    <definedName name="ERTITLE">#REF!</definedName>
    <definedName name="ERUNIT" localSheetId="18">#REF!</definedName>
    <definedName name="ERUNIT" localSheetId="5">#REF!</definedName>
    <definedName name="ERUNIT">#REF!</definedName>
    <definedName name="ES_CY" localSheetId="18">#REF!</definedName>
    <definedName name="ES_CY" localSheetId="5">#REF!</definedName>
    <definedName name="ES_CY">#REF!</definedName>
    <definedName name="ESP" localSheetId="18">#REF!</definedName>
    <definedName name="ESP" localSheetId="5">#REF!</definedName>
    <definedName name="ESP">#REF!</definedName>
    <definedName name="ESP_LAST" localSheetId="18">#REF!</definedName>
    <definedName name="ESP_LAST" localSheetId="5">#REF!</definedName>
    <definedName name="ESP_LAST">#REF!</definedName>
    <definedName name="ESP0" localSheetId="18">#REF!</definedName>
    <definedName name="ESP0" localSheetId="5">#REF!</definedName>
    <definedName name="ESP0">#REF!</definedName>
    <definedName name="ESPACTUAL" localSheetId="18">#REF!</definedName>
    <definedName name="ESPACTUAL" localSheetId="5">#REF!</definedName>
    <definedName name="ESPACTUAL">#REF!</definedName>
    <definedName name="ESPANOL" localSheetId="18">#REF!</definedName>
    <definedName name="ESPANOL" localSheetId="5">#REF!</definedName>
    <definedName name="ESPANOL">#REF!</definedName>
    <definedName name="ESPC" localSheetId="18">#REF!</definedName>
    <definedName name="ESPC" localSheetId="5">#REF!</definedName>
    <definedName name="ESPC">#REF!</definedName>
    <definedName name="ESPDATA" localSheetId="18">#REF!</definedName>
    <definedName name="ESPDATA" localSheetId="5">#REF!</definedName>
    <definedName name="ESPDATA">#REF!</definedName>
    <definedName name="ESPTITLES" localSheetId="18">#REF!</definedName>
    <definedName name="ESPTITLES" localSheetId="5">#REF!</definedName>
    <definedName name="ESPTITLES">#REF!</definedName>
    <definedName name="ESPUNO" localSheetId="18">#REF!</definedName>
    <definedName name="ESPUNO" localSheetId="5">#REF!</definedName>
    <definedName name="ESPUNO">#REF!</definedName>
    <definedName name="ESTITLE" localSheetId="18">#REF!</definedName>
    <definedName name="ESTITLE" localSheetId="5">#REF!</definedName>
    <definedName name="ESTITLE">#REF!</definedName>
    <definedName name="ESUNIT" localSheetId="18">#REF!</definedName>
    <definedName name="ESUNIT" localSheetId="5">#REF!</definedName>
    <definedName name="ESUNIT">#REF!</definedName>
    <definedName name="EXIT" localSheetId="18">#REF!</definedName>
    <definedName name="EXIT" localSheetId="5">#REF!</definedName>
    <definedName name="EXIT">#REF!</definedName>
    <definedName name="Extracción_IM" localSheetId="18">#REF!</definedName>
    <definedName name="Extracción_IM" localSheetId="5">#REF!</definedName>
    <definedName name="Extracción_IM">#REF!</definedName>
    <definedName name="FACEL" localSheetId="18">#REF!</definedName>
    <definedName name="FACEL" localSheetId="5">#REF!</definedName>
    <definedName name="FACEL">#REF!</definedName>
    <definedName name="FACWA" localSheetId="18">#REF!</definedName>
    <definedName name="FACWA" localSheetId="5">#REF!</definedName>
    <definedName name="FACWA">#REF!</definedName>
    <definedName name="FILE1" localSheetId="18">#REF!</definedName>
    <definedName name="FILE1" localSheetId="5">#REF!</definedName>
    <definedName name="FILE1">#REF!</definedName>
    <definedName name="FILE2" localSheetId="18">#REF!</definedName>
    <definedName name="FILE2" localSheetId="5">#REF!</definedName>
    <definedName name="FILE2">#REF!</definedName>
    <definedName name="FILE3" localSheetId="18">#REF!</definedName>
    <definedName name="FILE3" localSheetId="5">#REF!</definedName>
    <definedName name="FILE3">#REF!</definedName>
    <definedName name="FILE4" localSheetId="18">#REF!</definedName>
    <definedName name="FILE4" localSheetId="5">#REF!</definedName>
    <definedName name="FILE4">#REF!</definedName>
    <definedName name="FILE5" localSheetId="18">#REF!</definedName>
    <definedName name="FILE5" localSheetId="5">#REF!</definedName>
    <definedName name="FILE5">#REF!</definedName>
    <definedName name="FILE6" localSheetId="18">#REF!</definedName>
    <definedName name="FILE6" localSheetId="5">#REF!</definedName>
    <definedName name="FILE6">#REF!</definedName>
    <definedName name="FILE7" localSheetId="18">#REF!</definedName>
    <definedName name="FILE7" localSheetId="5">#REF!</definedName>
    <definedName name="FILE7">#REF!</definedName>
    <definedName name="FILE8" localSheetId="18">#REF!</definedName>
    <definedName name="FILE8" localSheetId="5">#REF!</definedName>
    <definedName name="FILE8">#REF!</definedName>
    <definedName name="FILENAME" localSheetId="18">#REF!</definedName>
    <definedName name="FILENAME" localSheetId="5">#REF!</definedName>
    <definedName name="FILENAME">#REF!</definedName>
    <definedName name="FILES" localSheetId="18">#REF!</definedName>
    <definedName name="FILES" localSheetId="5">#REF!</definedName>
    <definedName name="FILES">#REF!</definedName>
    <definedName name="FILESET_UP" localSheetId="18">#REF!</definedName>
    <definedName name="FILESET_UP" localSheetId="5">#REF!</definedName>
    <definedName name="FILESET_UP">#REF!</definedName>
    <definedName name="FIN" localSheetId="18">#REF!</definedName>
    <definedName name="FIN" localSheetId="5">#REF!</definedName>
    <definedName name="FIN">#REF!</definedName>
    <definedName name="FORMAT" localSheetId="18">#REF!</definedName>
    <definedName name="FORMAT" localSheetId="5">#REF!</definedName>
    <definedName name="FORMAT">#REF!</definedName>
    <definedName name="FRAME" localSheetId="18">#REF!</definedName>
    <definedName name="FRAME" localSheetId="5">#REF!</definedName>
    <definedName name="FRAME">#REF!</definedName>
    <definedName name="FREEZE" localSheetId="18">#REF!</definedName>
    <definedName name="FREEZE" localSheetId="5">#REF!</definedName>
    <definedName name="FREEZE">#REF!</definedName>
    <definedName name="GINC" localSheetId="18">#REF!</definedName>
    <definedName name="GINC" localSheetId="5">#REF!</definedName>
    <definedName name="GINC">#REF!</definedName>
    <definedName name="GINCL" localSheetId="18">#REF!</definedName>
    <definedName name="GINCL" localSheetId="5">#REF!</definedName>
    <definedName name="GINCL">#REF!</definedName>
    <definedName name="GWH" localSheetId="18">#REF!</definedName>
    <definedName name="GWH" localSheetId="5">#REF!</definedName>
    <definedName name="GWH">#REF!</definedName>
    <definedName name="HISTORY" localSheetId="18">#REF!</definedName>
    <definedName name="HISTORY" localSheetId="5">#REF!</definedName>
    <definedName name="HISTORY">#REF!</definedName>
    <definedName name="HOJAT" localSheetId="18">#REF!</definedName>
    <definedName name="HOJAT" localSheetId="5">#REF!</definedName>
    <definedName name="HOJAT">#REF!</definedName>
    <definedName name="i" localSheetId="18">#REF!</definedName>
    <definedName name="i" localSheetId="5">#REF!</definedName>
    <definedName name="i">#REF!</definedName>
    <definedName name="IMPANO0" localSheetId="18">#REF!</definedName>
    <definedName name="IMPANO0" localSheetId="5">#REF!</definedName>
    <definedName name="IMPANO0">#REF!</definedName>
    <definedName name="INCOME_ST" localSheetId="18">#REF!</definedName>
    <definedName name="INCOME_ST" localSheetId="5">#REF!</definedName>
    <definedName name="INCOME_ST">#REF!</definedName>
    <definedName name="INDSAVE" localSheetId="18">#REF!</definedName>
    <definedName name="INDSAVE" localSheetId="5">#REF!</definedName>
    <definedName name="INDSAVE">#REF!</definedName>
    <definedName name="INGLES" localSheetId="18">#REF!</definedName>
    <definedName name="INGLES" localSheetId="5">#REF!</definedName>
    <definedName name="INGLES">#REF!</definedName>
    <definedName name="INICIO" localSheetId="18">#REF!</definedName>
    <definedName name="INICIO" localSheetId="5">#REF!</definedName>
    <definedName name="INICIO">#REF!</definedName>
    <definedName name="INSTRUCCONSOL" localSheetId="18">#REF!</definedName>
    <definedName name="INSTRUCCONSOL" localSheetId="5">#REF!</definedName>
    <definedName name="INSTRUCCONSOL">#REF!</definedName>
    <definedName name="ITER" localSheetId="18">#REF!</definedName>
    <definedName name="ITER" localSheetId="5">#REF!</definedName>
    <definedName name="ITER">#REF!</definedName>
    <definedName name="JKL" localSheetId="18">#REF!</definedName>
    <definedName name="JKL" localSheetId="5">#REF!</definedName>
    <definedName name="JKL">#REF!</definedName>
    <definedName name="LANGUAGE" localSheetId="18">#REF!</definedName>
    <definedName name="LANGUAGE" localSheetId="5">#REF!</definedName>
    <definedName name="LANGUAGE">#REF!</definedName>
    <definedName name="LASER" localSheetId="18">#REF!</definedName>
    <definedName name="LASER" localSheetId="5">#REF!</definedName>
    <definedName name="LASER">#REF!</definedName>
    <definedName name="LAST_YEAR" localSheetId="18">#REF!</definedName>
    <definedName name="LAST_YEAR" localSheetId="5">#REF!</definedName>
    <definedName name="LAST_YEAR">#REF!</definedName>
    <definedName name="LEARN" localSheetId="18">#REF!</definedName>
    <definedName name="LEARN" localSheetId="5">#REF!</definedName>
    <definedName name="LEARN">#REF!</definedName>
    <definedName name="LINE_" localSheetId="18">#REF!</definedName>
    <definedName name="LINE_" localSheetId="5">#REF!</definedName>
    <definedName name="LINE_">#REF!</definedName>
    <definedName name="LINES_ML" localSheetId="18">#REF!</definedName>
    <definedName name="LINES_ML" localSheetId="5">#REF!</definedName>
    <definedName name="LINES_ML">#REF!</definedName>
    <definedName name="LOGO" localSheetId="18">#REF!</definedName>
    <definedName name="LOGO" localSheetId="5">#REF!</definedName>
    <definedName name="LOGO">#REF!</definedName>
    <definedName name="MAIN" localSheetId="18">#REF!</definedName>
    <definedName name="MAIN" localSheetId="5">#REF!</definedName>
    <definedName name="MAIN">#REF!</definedName>
    <definedName name="MENSAJ" localSheetId="18">#REF!</definedName>
    <definedName name="MENSAJ" localSheetId="5">#REF!</definedName>
    <definedName name="MENSAJ">#REF!</definedName>
    <definedName name="MENSAJ1" localSheetId="18">#REF!</definedName>
    <definedName name="MENSAJ1" localSheetId="5">#REF!</definedName>
    <definedName name="MENSAJ1">#REF!</definedName>
    <definedName name="MENSAJE" localSheetId="18">#REF!</definedName>
    <definedName name="MENSAJE" localSheetId="5">#REF!</definedName>
    <definedName name="MENSAJE">#REF!</definedName>
    <definedName name="MENSAJE1" localSheetId="18">#REF!</definedName>
    <definedName name="MENSAJE1" localSheetId="5">#REF!</definedName>
    <definedName name="MENSAJE1">#REF!</definedName>
    <definedName name="MESES" localSheetId="18">#REF!</definedName>
    <definedName name="MESES" localSheetId="5">#REF!</definedName>
    <definedName name="MESES">#REF!</definedName>
    <definedName name="MESESL" localSheetId="18">#REF!</definedName>
    <definedName name="MESESL" localSheetId="5">#REF!</definedName>
    <definedName name="MESESL">#REF!</definedName>
    <definedName name="MIL" localSheetId="18">#REF!</definedName>
    <definedName name="MIL" localSheetId="5">#REF!</definedName>
    <definedName name="MIL">#REF!</definedName>
    <definedName name="MILLON" localSheetId="18">#REF!</definedName>
    <definedName name="MILLON" localSheetId="5">#REF!</definedName>
    <definedName name="MILLON">#REF!</definedName>
    <definedName name="MODINFO" localSheetId="18">#REF!</definedName>
    <definedName name="MODINFO" localSheetId="5">#REF!</definedName>
    <definedName name="MODINFO">#REF!</definedName>
    <definedName name="MODULES" localSheetId="18">#REF!</definedName>
    <definedName name="MODULES" localSheetId="5">#REF!</definedName>
    <definedName name="MODULES">#REF!</definedName>
    <definedName name="MSGCALC" localSheetId="18">#REF!</definedName>
    <definedName name="MSGCALC" localSheetId="5">#REF!</definedName>
    <definedName name="MSGCALC">#REF!</definedName>
    <definedName name="MSGDEBT" localSheetId="18">#REF!</definedName>
    <definedName name="MSGDEBT" localSheetId="5">#REF!</definedName>
    <definedName name="MSGDEBT">#REF!</definedName>
    <definedName name="MSGFILES" localSheetId="18">#REF!</definedName>
    <definedName name="MSGFILES" localSheetId="5">#REF!</definedName>
    <definedName name="MSGFILES">#REF!</definedName>
    <definedName name="MSGINVEST" localSheetId="18">#REF!</definedName>
    <definedName name="MSGINVEST" localSheetId="5">#REF!</definedName>
    <definedName name="MSGINVEST">#REF!</definedName>
    <definedName name="MSGNAMES" localSheetId="18">#REF!</definedName>
    <definedName name="MSGNAMES" localSheetId="5">#REF!</definedName>
    <definedName name="MSGNAMES">#REF!</definedName>
    <definedName name="MSGPRINTG" localSheetId="18">#REF!</definedName>
    <definedName name="MSGPRINTG" localSheetId="5">#REF!</definedName>
    <definedName name="MSGPRINTG">#REF!</definedName>
    <definedName name="MSGTRANSFER" localSheetId="18">#REF!</definedName>
    <definedName name="MSGTRANSFER" localSheetId="5">#REF!</definedName>
    <definedName name="MSGTRANSFER">#REF!</definedName>
    <definedName name="MWH" localSheetId="18">#REF!</definedName>
    <definedName name="MWH" localSheetId="5">#REF!</definedName>
    <definedName name="MWH">#REF!</definedName>
    <definedName name="NAME" localSheetId="18">#REF!</definedName>
    <definedName name="NAME" localSheetId="5">#REF!</definedName>
    <definedName name="NAME">#REF!</definedName>
    <definedName name="NAMES" localSheetId="18">#REF!</definedName>
    <definedName name="NAMES" localSheetId="5">#REF!</definedName>
    <definedName name="NAMES">#REF!</definedName>
    <definedName name="NOPRO" localSheetId="18">#REF!</definedName>
    <definedName name="NOPRO" localSheetId="5">#REF!</definedName>
    <definedName name="NOPRO">#REF!</definedName>
    <definedName name="OA_CY" localSheetId="18">#REF!</definedName>
    <definedName name="OA_CY" localSheetId="5">#REF!</definedName>
    <definedName name="OA_CY">#REF!</definedName>
    <definedName name="OAP" localSheetId="18">#REF!</definedName>
    <definedName name="OAP" localSheetId="5">#REF!</definedName>
    <definedName name="OAP">#REF!</definedName>
    <definedName name="OAP_LAST" localSheetId="18">#REF!</definedName>
    <definedName name="OAP_LAST" localSheetId="5">#REF!</definedName>
    <definedName name="OAP_LAST">#REF!</definedName>
    <definedName name="OAP0" localSheetId="18">#REF!</definedName>
    <definedName name="OAP0" localSheetId="5">#REF!</definedName>
    <definedName name="OAP0">#REF!</definedName>
    <definedName name="OAPACTUAL" localSheetId="18">#REF!</definedName>
    <definedName name="OAPACTUAL" localSheetId="5">#REF!</definedName>
    <definedName name="OAPACTUAL">#REF!</definedName>
    <definedName name="OAPC" localSheetId="18">#REF!</definedName>
    <definedName name="OAPC" localSheetId="5">#REF!</definedName>
    <definedName name="OAPC">#REF!</definedName>
    <definedName name="OAPDATA" localSheetId="18">#REF!</definedName>
    <definedName name="OAPDATA" localSheetId="5">#REF!</definedName>
    <definedName name="OAPDATA">#REF!</definedName>
    <definedName name="OAPTITLES" localSheetId="18">#REF!</definedName>
    <definedName name="OAPTITLES" localSheetId="5">#REF!</definedName>
    <definedName name="OAPTITLES">#REF!</definedName>
    <definedName name="OAPUNO" localSheetId="18">#REF!</definedName>
    <definedName name="OAPUNO" localSheetId="5">#REF!</definedName>
    <definedName name="OAPUNO">#REF!</definedName>
    <definedName name="OATITLE" localSheetId="18">#REF!</definedName>
    <definedName name="OATITLE" localSheetId="5">#REF!</definedName>
    <definedName name="OATITLE">#REF!</definedName>
    <definedName name="OAUNIT" localSheetId="18">#REF!</definedName>
    <definedName name="OAUNIT" localSheetId="5">#REF!</definedName>
    <definedName name="OAUNIT">#REF!</definedName>
    <definedName name="OPCFLAG" localSheetId="18">#REF!</definedName>
    <definedName name="OPCFLAG" localSheetId="5">#REF!</definedName>
    <definedName name="OPCFLAG">#REF!</definedName>
    <definedName name="OPCION" localSheetId="18">#REF!</definedName>
    <definedName name="OPCION" localSheetId="5">#REF!</definedName>
    <definedName name="OPCION">#REF!</definedName>
    <definedName name="OPSELC" localSheetId="18">#REF!</definedName>
    <definedName name="OPSELC" localSheetId="5">#REF!</definedName>
    <definedName name="OPSELC">#REF!</definedName>
    <definedName name="OUTPUT" localSheetId="18">#REF!</definedName>
    <definedName name="OUTPUT" localSheetId="5">#REF!</definedName>
    <definedName name="OUTPUT">#REF!</definedName>
    <definedName name="OUTPUTDE" localSheetId="18">#REF!</definedName>
    <definedName name="OUTPUTDE" localSheetId="5">#REF!</definedName>
    <definedName name="OUTPUTDE">#REF!</definedName>
    <definedName name="OUTPUTE" localSheetId="18">#REF!</definedName>
    <definedName name="OUTPUTE" localSheetId="5">#REF!</definedName>
    <definedName name="OUTPUTE">#REF!</definedName>
    <definedName name="OUTPUTE_HEADER" localSheetId="18">#REF!</definedName>
    <definedName name="OUTPUTE_HEADER" localSheetId="5">#REF!</definedName>
    <definedName name="OUTPUTE_HEADER">#REF!</definedName>
    <definedName name="OUTPUTEBODY" localSheetId="18">#REF!</definedName>
    <definedName name="OUTPUTEBODY" localSheetId="5">#REF!</definedName>
    <definedName name="OUTPUTEBODY">#REF!</definedName>
    <definedName name="OUTPUTECOL" localSheetId="18">#REF!</definedName>
    <definedName name="OUTPUTECOL" localSheetId="5">#REF!</definedName>
    <definedName name="OUTPUTECOL">#REF!</definedName>
    <definedName name="OUTPUTEHEAD" localSheetId="18">#REF!</definedName>
    <definedName name="OUTPUTEHEAD" localSheetId="5">#REF!</definedName>
    <definedName name="OUTPUTEHEAD">#REF!</definedName>
    <definedName name="OUTPUTNOS" localSheetId="18">#REF!</definedName>
    <definedName name="OUTPUTNOS" localSheetId="5">#REF!</definedName>
    <definedName name="OUTPUTNOS">#REF!</definedName>
    <definedName name="OUTPUTPR" localSheetId="18">#REF!</definedName>
    <definedName name="OUTPUTPR" localSheetId="5">#REF!</definedName>
    <definedName name="OUTPUTPR">#REF!</definedName>
    <definedName name="OUTPUTWS" localSheetId="18">#REF!</definedName>
    <definedName name="OUTPUTWS" localSheetId="5">#REF!</definedName>
    <definedName name="OUTPUTWS">#REF!</definedName>
    <definedName name="PANTALLA" localSheetId="18">#REF!</definedName>
    <definedName name="PANTALLA" localSheetId="5">#REF!</definedName>
    <definedName name="PANTALLA">#REF!</definedName>
    <definedName name="PAPEL" localSheetId="18">#REF!</definedName>
    <definedName name="PAPEL" localSheetId="5">#REF!</definedName>
    <definedName name="PAPEL">#REF!</definedName>
    <definedName name="PFLAG" localSheetId="18">#REF!</definedName>
    <definedName name="PFLAG" localSheetId="5">#REF!</definedName>
    <definedName name="PFLAG">#REF!</definedName>
    <definedName name="PGIC" localSheetId="18">#REF!</definedName>
    <definedName name="PGIC" localSheetId="5">#REF!</definedName>
    <definedName name="PGIC">#REF!</definedName>
    <definedName name="PREST" localSheetId="18">#REF!</definedName>
    <definedName name="PREST" localSheetId="5">#REF!</definedName>
    <definedName name="PREST">#REF!</definedName>
    <definedName name="PRESTAMO" localSheetId="18">#REF!</definedName>
    <definedName name="PRESTAMO" localSheetId="5">#REF!</definedName>
    <definedName name="PRESTAMO">#REF!</definedName>
    <definedName name="PRESTTOT" localSheetId="18">#REF!</definedName>
    <definedName name="PRESTTOT" localSheetId="5">#REF!</definedName>
    <definedName name="PRESTTOT">#REF!</definedName>
    <definedName name="PRINTER" localSheetId="18">#REF!</definedName>
    <definedName name="PRINTER" localSheetId="5">#REF!</definedName>
    <definedName name="PRINTER">#REF!</definedName>
    <definedName name="PRODUC2" localSheetId="18">#REF!</definedName>
    <definedName name="PRODUC2" localSheetId="5">#REF!</definedName>
    <definedName name="PRODUC2">#REF!</definedName>
    <definedName name="PRODUC3" localSheetId="18">#REF!</definedName>
    <definedName name="PRODUC3" localSheetId="5">#REF!</definedName>
    <definedName name="PRODUC3">#REF!</definedName>
    <definedName name="PRODUC4" localSheetId="18">#REF!</definedName>
    <definedName name="PRODUC4" localSheetId="5">#REF!</definedName>
    <definedName name="PRODUC4">#REF!</definedName>
    <definedName name="PTOEF" localSheetId="18">#REF!</definedName>
    <definedName name="PTOEF" localSheetId="5">#REF!</definedName>
    <definedName name="PTOEF">#REF!</definedName>
    <definedName name="PTOER" localSheetId="18">#REF!</definedName>
    <definedName name="PTOER" localSheetId="5">#REF!</definedName>
    <definedName name="PTOER">#REF!</definedName>
    <definedName name="RANGES" localSheetId="18">#REF!</definedName>
    <definedName name="RANGES" localSheetId="5">#REF!</definedName>
    <definedName name="RANGES">#REF!</definedName>
    <definedName name="RATIOS" localSheetId="18">#REF!</definedName>
    <definedName name="RATIOS" localSheetId="5">#REF!</definedName>
    <definedName name="RATIOS">#REF!</definedName>
    <definedName name="RCC" localSheetId="18">#REF!</definedName>
    <definedName name="RCC" localSheetId="5">#REF!</definedName>
    <definedName name="RCC">#REF!</definedName>
    <definedName name="RCCOBR" localSheetId="18">#REF!</definedName>
    <definedName name="RCCOBR" localSheetId="5">#REF!</definedName>
    <definedName name="RCCOBR">#REF!</definedName>
    <definedName name="rd" localSheetId="18">#REF!</definedName>
    <definedName name="rd" localSheetId="5">#REF!</definedName>
    <definedName name="rd">#REF!</definedName>
    <definedName name="rdn">[4]Hidrometeorología!$D$14</definedName>
    <definedName name="rdx">[4]Hidrometeorología!$D$14</definedName>
    <definedName name="re" localSheetId="18">#REF!</definedName>
    <definedName name="re" localSheetId="5">#REF!</definedName>
    <definedName name="re">#REF!</definedName>
    <definedName name="RENTA" localSheetId="18">#REF!</definedName>
    <definedName name="RENTA" localSheetId="5">#REF!</definedName>
    <definedName name="RENTA">#REF!</definedName>
    <definedName name="RENTAL" localSheetId="18">#REF!</definedName>
    <definedName name="RENTAL" localSheetId="5">#REF!</definedName>
    <definedName name="RENTAL">#REF!</definedName>
    <definedName name="REPO" localSheetId="18">#REF!</definedName>
    <definedName name="REPO" localSheetId="5">#REF!</definedName>
    <definedName name="REPO">#REF!</definedName>
    <definedName name="REPOCALC" localSheetId="18">#REF!</definedName>
    <definedName name="REPOCALC" localSheetId="5">#REF!</definedName>
    <definedName name="REPOCALC">#REF!</definedName>
    <definedName name="REPOPRO" localSheetId="18">#REF!</definedName>
    <definedName name="REPOPRO" localSheetId="5">#REF!</definedName>
    <definedName name="REPOPRO">#REF!</definedName>
    <definedName name="REPSUB" localSheetId="18">#REF!</definedName>
    <definedName name="REPSUB" localSheetId="5">#REF!</definedName>
    <definedName name="REPSUB">#REF!</definedName>
    <definedName name="REPSUBWYS" localSheetId="18">#REF!</definedName>
    <definedName name="REPSUBWYS" localSheetId="5">#REF!</definedName>
    <definedName name="REPSUBWYS">#REF!</definedName>
    <definedName name="RESUMEN" localSheetId="18">#REF!</definedName>
    <definedName name="RESUMEN" localSheetId="5">#REF!</definedName>
    <definedName name="RESUMEN">#REF!</definedName>
    <definedName name="rf" localSheetId="18">#REF!</definedName>
    <definedName name="rf" localSheetId="5">#REF!</definedName>
    <definedName name="rf">#REF!</definedName>
    <definedName name="RF_CY" localSheetId="18">#REF!</definedName>
    <definedName name="RF_CY" localSheetId="5">#REF!</definedName>
    <definedName name="RF_CY">#REF!</definedName>
    <definedName name="RFP" localSheetId="18">#REF!</definedName>
    <definedName name="RFP" localSheetId="5">#REF!</definedName>
    <definedName name="RFP">#REF!</definedName>
    <definedName name="RFPACTUAL" localSheetId="18">#REF!</definedName>
    <definedName name="RFPACTUAL" localSheetId="5">#REF!</definedName>
    <definedName name="RFPACTUAL">#REF!</definedName>
    <definedName name="RFPC" localSheetId="18">#REF!</definedName>
    <definedName name="RFPC" localSheetId="5">#REF!</definedName>
    <definedName name="RFPC">#REF!</definedName>
    <definedName name="RFPDATA" localSheetId="18">#REF!</definedName>
    <definedName name="RFPDATA" localSheetId="5">#REF!</definedName>
    <definedName name="RFPDATA">#REF!</definedName>
    <definedName name="RFPTITLES" localSheetId="18">#REF!</definedName>
    <definedName name="RFPTITLES" localSheetId="5">#REF!</definedName>
    <definedName name="RFPTITLES">#REF!</definedName>
    <definedName name="RFTITLE" localSheetId="18">#REF!</definedName>
    <definedName name="RFTITLE" localSheetId="5">#REF!</definedName>
    <definedName name="RFTITLE">#REF!</definedName>
    <definedName name="RFUNIT" localSheetId="18">#REF!</definedName>
    <definedName name="RFUNIT" localSheetId="5">#REF!</definedName>
    <definedName name="RFUNIT">#REF!</definedName>
    <definedName name="rm_rf" localSheetId="18">#REF!</definedName>
    <definedName name="rm_rf" localSheetId="5">#REF!</definedName>
    <definedName name="rm_rf">#REF!</definedName>
    <definedName name="rp" localSheetId="18">#REF!</definedName>
    <definedName name="rp" localSheetId="5">#REF!</definedName>
    <definedName name="rp">#REF!</definedName>
    <definedName name="RPTSFOOTER" localSheetId="18">#REF!</definedName>
    <definedName name="RPTSFOOTER" localSheetId="5">#REF!</definedName>
    <definedName name="RPTSFOOTER">#REF!</definedName>
    <definedName name="RPTSHEADER" localSheetId="18">#REF!</definedName>
    <definedName name="RPTSHEADER" localSheetId="5">#REF!</definedName>
    <definedName name="RPTSHEADER">#REF!</definedName>
    <definedName name="rrd">[5]RRT!$D$14</definedName>
    <definedName name="RRT" localSheetId="15">' IMP Existente 2017 2021'!$D$13</definedName>
    <definedName name="RRT" localSheetId="16">'[1]IMPA Indicativo'!$D$13</definedName>
    <definedName name="RRT" localSheetId="11">'IMP Existente APROBADO'!$D$11</definedName>
    <definedName name="RRT" localSheetId="18">#REF!</definedName>
    <definedName name="RRT" localSheetId="8">'[2]IMPA Indicativo'!$D$13</definedName>
    <definedName name="RRT" localSheetId="5">#REF!</definedName>
    <definedName name="RRT" localSheetId="10">'[1]IMPA Indicativo'!$D$13</definedName>
    <definedName name="RRT" localSheetId="17">'[3]IMPA Indicativo'!$D$13</definedName>
    <definedName name="RRT">#REF!</definedName>
    <definedName name="RRTg" localSheetId="18">#REF!</definedName>
    <definedName name="RRTg" localSheetId="5">#REF!</definedName>
    <definedName name="RRTg">#REF!</definedName>
    <definedName name="RRTT" localSheetId="18">#REF!</definedName>
    <definedName name="RRTT" localSheetId="5">#REF!</definedName>
    <definedName name="RRTT">#REF!</definedName>
    <definedName name="SCREEN" localSheetId="18">#REF!</definedName>
    <definedName name="SCREEN" localSheetId="5">#REF!</definedName>
    <definedName name="SCREEN">#REF!</definedName>
    <definedName name="Sd" localSheetId="18">#REF!</definedName>
    <definedName name="Sd" localSheetId="5">#REF!</definedName>
    <definedName name="Sd">#REF!</definedName>
    <definedName name="SE0" localSheetId="18">#REF!</definedName>
    <definedName name="SE0" localSheetId="5">#REF!</definedName>
    <definedName name="SE0">#REF!</definedName>
    <definedName name="SENOP" localSheetId="18">#REF!</definedName>
    <definedName name="SENOP" localSheetId="5">#REF!</definedName>
    <definedName name="SENOP">#REF!</definedName>
    <definedName name="SENPRI" localSheetId="18">#REF!</definedName>
    <definedName name="SENPRI" localSheetId="5">#REF!</definedName>
    <definedName name="SENPRI">#REF!</definedName>
    <definedName name="SENSITIVITY" localSheetId="18">#REF!</definedName>
    <definedName name="SENSITIVITY" localSheetId="5">#REF!</definedName>
    <definedName name="SENSITIVITY">#REF!</definedName>
    <definedName name="SENSTA" localSheetId="18">#REF!</definedName>
    <definedName name="SENSTA" localSheetId="5">#REF!</definedName>
    <definedName name="SENSTA">#REF!</definedName>
    <definedName name="SENT" localSheetId="18">#REF!</definedName>
    <definedName name="SENT" localSheetId="5">#REF!</definedName>
    <definedName name="SENT">#REF!</definedName>
    <definedName name="SENUNI" localSheetId="18">#REF!</definedName>
    <definedName name="SENUNI" localSheetId="5">#REF!</definedName>
    <definedName name="SENUNI">#REF!</definedName>
    <definedName name="SER" localSheetId="18">#REF!</definedName>
    <definedName name="SER" localSheetId="5">#REF!</definedName>
    <definedName name="SER">#REF!</definedName>
    <definedName name="solver_adj" localSheetId="1" hidden="1">'CX cxj Año1 '!$L$10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'CX cxj Año1 '!$L$1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16135</definedName>
    <definedName name="SOURCE_APPL" localSheetId="18">#REF!</definedName>
    <definedName name="SOURCE_APPL" localSheetId="5">#REF!</definedName>
    <definedName name="SOURCE_APPL">#REF!</definedName>
    <definedName name="STAMP" localSheetId="18">#REF!</definedName>
    <definedName name="STAMP" localSheetId="5">#REF!</definedName>
    <definedName name="STAMP">#REF!</definedName>
    <definedName name="START" localSheetId="18">#REF!</definedName>
    <definedName name="START" localSheetId="5">#REF!</definedName>
    <definedName name="START">#REF!</definedName>
    <definedName name="SUMARIA" localSheetId="18">#REF!</definedName>
    <definedName name="SUMARIA" localSheetId="5">#REF!</definedName>
    <definedName name="SUMARIA">#REF!</definedName>
    <definedName name="SUPUESTOS" localSheetId="18">#REF!</definedName>
    <definedName name="SUPUESTOS" localSheetId="5">#REF!</definedName>
    <definedName name="SUPUESTOS">#REF!</definedName>
    <definedName name="t" localSheetId="18">#REF!</definedName>
    <definedName name="t" localSheetId="5">#REF!</definedName>
    <definedName name="t">#REF!</definedName>
    <definedName name="TASA" localSheetId="18">#REF!</definedName>
    <definedName name="TASA" localSheetId="5">#REF!</definedName>
    <definedName name="TASA">#REF!</definedName>
    <definedName name="TASAI" localSheetId="18">#REF!</definedName>
    <definedName name="TASAI" localSheetId="5">#REF!</definedName>
    <definedName name="TASAI">#REF!</definedName>
    <definedName name="TASATOT" localSheetId="18">#REF!</definedName>
    <definedName name="TASATOT" localSheetId="5">#REF!</definedName>
    <definedName name="TASATOT">#REF!</definedName>
    <definedName name="TIPO" localSheetId="18">#REF!</definedName>
    <definedName name="TIPO" localSheetId="5">#REF!</definedName>
    <definedName name="TIPO">#REF!</definedName>
    <definedName name="TITLE" localSheetId="18">#REF!</definedName>
    <definedName name="TITLE" localSheetId="5">#REF!</definedName>
    <definedName name="TITLE">#REF!</definedName>
    <definedName name="TITLEENG" localSheetId="18">#REF!</definedName>
    <definedName name="TITLEENG" localSheetId="5">#REF!</definedName>
    <definedName name="TITLEENG">#REF!</definedName>
    <definedName name="TITLES" localSheetId="18">#REF!</definedName>
    <definedName name="TITLES" localSheetId="5">#REF!</definedName>
    <definedName name="TITLES">#REF!</definedName>
    <definedName name="TITLESPAN" localSheetId="18">#REF!</definedName>
    <definedName name="TITLESPAN" localSheetId="5">#REF!</definedName>
    <definedName name="TITLESPAN">#REF!</definedName>
    <definedName name="_xlnm.Print_Titles" localSheetId="1">'CX cxj Año1 '!$3:$8</definedName>
    <definedName name="_xlnm.Print_Titles" localSheetId="0">Resumen!$2:$5</definedName>
    <definedName name="_xlnm.Print_Titles" localSheetId="5">'VERIFICACIÓN DE INGRESOS'!$7:$8</definedName>
    <definedName name="TRAF" localSheetId="18">#REF!</definedName>
    <definedName name="TRAF" localSheetId="5">#REF!</definedName>
    <definedName name="TRAF">#REF!</definedName>
    <definedName name="TSFR1" localSheetId="18">#REF!</definedName>
    <definedName name="TSFR1" localSheetId="5">#REF!</definedName>
    <definedName name="TSFR1">#REF!</definedName>
    <definedName name="TSFR2" localSheetId="18">#REF!</definedName>
    <definedName name="TSFR2" localSheetId="5">#REF!</definedName>
    <definedName name="TSFR2">#REF!</definedName>
    <definedName name="TSFR3" localSheetId="18">#REF!</definedName>
    <definedName name="TSFR3" localSheetId="5">#REF!</definedName>
    <definedName name="TSFR3">#REF!</definedName>
    <definedName name="UNDERLINE" localSheetId="18">#REF!</definedName>
    <definedName name="UNDERLINE" localSheetId="5">#REF!</definedName>
    <definedName name="UNDERLINE">#REF!</definedName>
    <definedName name="UNFREEZE" localSheetId="18">#REF!</definedName>
    <definedName name="UNFREEZE" localSheetId="5">#REF!</definedName>
    <definedName name="UNFREEZE">#REF!</definedName>
    <definedName name="UNITS" localSheetId="18">#REF!</definedName>
    <definedName name="UNITS" localSheetId="5">#REF!</definedName>
    <definedName name="UNITS">#REF!</definedName>
    <definedName name="VNR_Lineas" localSheetId="15">[6]VNR!$Q$62</definedName>
    <definedName name="VNR_Lineas" localSheetId="16">[1]VNR!$Q$59</definedName>
    <definedName name="VNR_Lineas" localSheetId="11">[1]VNR!$Q$59</definedName>
    <definedName name="VNR_Lineas" localSheetId="18">#REF!</definedName>
    <definedName name="VNR_Lineas" localSheetId="8">'[2]VNR Lin '!$I$64</definedName>
    <definedName name="VNR_Lineas" localSheetId="5">#REF!</definedName>
    <definedName name="VNR_Lineas" localSheetId="10">'VNR APROBADO'!$S$70</definedName>
    <definedName name="VNR_Lineas" localSheetId="17">'VNR consulta (015 17)'!$R$62</definedName>
    <definedName name="VNR_Lineas">#REF!</definedName>
    <definedName name="VNR_Lineas_Conexión" localSheetId="16">[1]VNR!$Q$69</definedName>
    <definedName name="VNR_Lineas_Conexión" localSheetId="11">[1]VNR!$Q$69</definedName>
    <definedName name="VNR_Lineas_Conexión" localSheetId="8">'[2]VNR Lin '!$I$74</definedName>
    <definedName name="VNR_Lineas_Conexión">'VNR APROBADO'!$S$80</definedName>
    <definedName name="VNR_Subestaciones_Conexión" localSheetId="15">[6]VNR!$G$46</definedName>
    <definedName name="VNR_Subestaciones_Conexión" localSheetId="16">[1]VNR!$G$48</definedName>
    <definedName name="VNR_Subestaciones_Conexión" localSheetId="11">[1]VNR!$G$48</definedName>
    <definedName name="VNR_Subestaciones_Conexión" localSheetId="18">#REF!</definedName>
    <definedName name="VNR_Subestaciones_Conexión" localSheetId="8">'[2] VNR Sub'!$H$45</definedName>
    <definedName name="VNR_Subestaciones_Conexión" localSheetId="5">#REF!</definedName>
    <definedName name="VNR_Subestaciones_Conexión" localSheetId="10">'VNR APROBADO'!$H$47</definedName>
    <definedName name="VNR_Subestaciones_Conexión" localSheetId="17">'VNR consulta (015 17)'!$G$46</definedName>
    <definedName name="VNR_Subestaciones_Conexión">#REF!</definedName>
    <definedName name="VNR_Subestaciones_Estrategicas" localSheetId="15">[6]VNR!$F$36</definedName>
    <definedName name="VNR_Subestaciones_Estrategicas" localSheetId="16">[1]VNR!$F$38</definedName>
    <definedName name="VNR_Subestaciones_Estrategicas" localSheetId="11">[1]VNR!$F$38</definedName>
    <definedName name="VNR_Subestaciones_Estrategicas" localSheetId="18">#REF!</definedName>
    <definedName name="VNR_Subestaciones_Estrategicas" localSheetId="8">'[2] VNR Sub'!$G$33</definedName>
    <definedName name="VNR_Subestaciones_Estrategicas" localSheetId="5">#REF!</definedName>
    <definedName name="VNR_Subestaciones_Estrategicas" localSheetId="10">'VNR APROBADO'!$G$35</definedName>
    <definedName name="VNR_Subestaciones_Estrategicas" localSheetId="17">'VNR consulta (015 17)'!$F$36</definedName>
    <definedName name="VNR_Subestaciones_Estrategicas">#REF!</definedName>
    <definedName name="VNR_Subestaciones_SPT" localSheetId="15">[6]VNR!$F$30</definedName>
    <definedName name="VNR_Subestaciones_SPT" localSheetId="16">[1]VNR!$F$32</definedName>
    <definedName name="VNR_Subestaciones_SPT" localSheetId="11">[1]VNR!$F$32</definedName>
    <definedName name="VNR_Subestaciones_SPT" localSheetId="18">#REF!</definedName>
    <definedName name="VNR_Subestaciones_SPT" localSheetId="8">'[2] VNR Sub'!$G$24</definedName>
    <definedName name="VNR_Subestaciones_SPT" localSheetId="5">#REF!</definedName>
    <definedName name="VNR_Subestaciones_SPT" localSheetId="10">'VNR APROBADO'!$G$26</definedName>
    <definedName name="VNR_Subestaciones_SPT" localSheetId="17">'VNR consulta (015 17)'!$F$30</definedName>
    <definedName name="VNR_Subestaciones_SPT">#REF!</definedName>
    <definedName name="vvvv">[7]IMP!$D$14</definedName>
    <definedName name="WACCna" localSheetId="18">#REF!</definedName>
    <definedName name="WACCna" localSheetId="5">#REF!</definedName>
    <definedName name="WACCna">#REF!</definedName>
    <definedName name="WACCnd" localSheetId="18">#REF!</definedName>
    <definedName name="WACCnd" localSheetId="5">#REF!</definedName>
    <definedName name="WACCnd">#REF!</definedName>
    <definedName name="WACCr" localSheetId="18">#REF!</definedName>
    <definedName name="WACCr" localSheetId="5">#REF!</definedName>
    <definedName name="WACCr">#REF!</definedName>
    <definedName name="WACCra" localSheetId="18">#REF!</definedName>
    <definedName name="WACCra" localSheetId="5">#REF!</definedName>
    <definedName name="WACCra">#REF!</definedName>
    <definedName name="WH" localSheetId="18">#REF!</definedName>
    <definedName name="WH" localSheetId="5">#REF!</definedName>
    <definedName name="WH">#REF!</definedName>
    <definedName name="WHC" localSheetId="18">#REF!</definedName>
    <definedName name="WHC" localSheetId="5">#REF!</definedName>
    <definedName name="WHC">#REF!</definedName>
    <definedName name="WHCO" localSheetId="18">#REF!</definedName>
    <definedName name="WHCO" localSheetId="5">#REF!</definedName>
    <definedName name="WHCO">#REF!</definedName>
    <definedName name="WHCR" localSheetId="18">#REF!</definedName>
    <definedName name="WHCR" localSheetId="5">#REF!</definedName>
    <definedName name="WHCR">#REF!</definedName>
    <definedName name="WHCS" localSheetId="18">#REF!</definedName>
    <definedName name="WHCS" localSheetId="5">#REF!</definedName>
    <definedName name="WHCS">#REF!</definedName>
    <definedName name="WHG" localSheetId="18">#REF!</definedName>
    <definedName name="WHG" localSheetId="5">#REF!</definedName>
    <definedName name="WHG">#REF!</definedName>
    <definedName name="WHH" localSheetId="18">#REF!</definedName>
    <definedName name="WHH" localSheetId="5">#REF!</definedName>
    <definedName name="WHH">#REF!</definedName>
    <definedName name="WORKSHEET" localSheetId="18">#REF!</definedName>
    <definedName name="WORKSHEET" localSheetId="5">#REF!</definedName>
    <definedName name="WORKSHEET">#REF!</definedName>
    <definedName name="WP" localSheetId="18">#REF!</definedName>
    <definedName name="WP" localSheetId="5">#REF!</definedName>
    <definedName name="WP">#REF!</definedName>
    <definedName name="WPC" localSheetId="18">#REF!</definedName>
    <definedName name="WPC" localSheetId="5">#REF!</definedName>
    <definedName name="WPC">#REF!</definedName>
    <definedName name="WPG" localSheetId="18">#REF!</definedName>
    <definedName name="WPG" localSheetId="5">#REF!</definedName>
    <definedName name="WPG">#REF!</definedName>
    <definedName name="WPH" localSheetId="18">#REF!</definedName>
    <definedName name="WPH" localSheetId="5">#REF!</definedName>
    <definedName name="WPH">#REF!</definedName>
    <definedName name="WSANO0PR" localSheetId="18">#REF!</definedName>
    <definedName name="WSANO0PR" localSheetId="5">#REF!</definedName>
    <definedName name="WSANO0PR">#REF!</definedName>
    <definedName name="WSANO0S" localSheetId="18">#REF!</definedName>
    <definedName name="WSANO0S" localSheetId="5">#REF!</definedName>
    <definedName name="WSANO0S">#REF!</definedName>
    <definedName name="WSGRID" localSheetId="18">#REF!</definedName>
    <definedName name="WSGRID" localSheetId="5">#REF!</definedName>
    <definedName name="WSGRID">#REF!</definedName>
    <definedName name="WSGRID0" localSheetId="18">#REF!</definedName>
    <definedName name="WSGRID0" localSheetId="5">#REF!</definedName>
    <definedName name="WSGRID0">#REF!</definedName>
    <definedName name="WSGRID10" localSheetId="18">#REF!</definedName>
    <definedName name="WSGRID10" localSheetId="5">#REF!</definedName>
    <definedName name="WSGRID10">#REF!</definedName>
    <definedName name="WSPRINT" localSheetId="18">#REF!</definedName>
    <definedName name="WSPRINT" localSheetId="5">#REF!</definedName>
    <definedName name="WSPR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0" l="1"/>
  <c r="F35" i="81"/>
  <c r="G35" i="81"/>
  <c r="H35" i="81"/>
  <c r="E35" i="81"/>
  <c r="H37" i="81"/>
  <c r="B29" i="48" l="1"/>
  <c r="I28" i="48"/>
  <c r="H81" i="1"/>
  <c r="X56" i="1"/>
  <c r="U56" i="1"/>
  <c r="O56" i="1"/>
  <c r="I56" i="1"/>
  <c r="F56" i="1"/>
  <c r="B30" i="81"/>
  <c r="E83" i="1"/>
  <c r="D32" i="62" s="1"/>
  <c r="G81" i="1"/>
  <c r="H82" i="1" s="1"/>
  <c r="E6" i="68"/>
  <c r="F37" i="81"/>
  <c r="G37" i="81"/>
  <c r="E37" i="81"/>
  <c r="G83" i="1" l="1"/>
  <c r="H83" i="1" s="1"/>
  <c r="C32" i="63"/>
  <c r="C32" i="61"/>
  <c r="E32" i="61" s="1"/>
  <c r="D32" i="61"/>
  <c r="D32" i="13"/>
  <c r="E32" i="13" s="1"/>
  <c r="C32" i="62"/>
  <c r="E32" i="62" s="1"/>
  <c r="D32" i="63"/>
  <c r="E32" i="63" s="1"/>
  <c r="D37" i="81" l="1"/>
  <c r="H25" i="68"/>
  <c r="E75" i="20" l="1"/>
  <c r="E15" i="20"/>
  <c r="E14" i="20"/>
  <c r="E21" i="20" l="1"/>
  <c r="E20" i="20"/>
  <c r="G26" i="78" l="1"/>
  <c r="E58" i="78" s="1"/>
  <c r="E7" i="20" l="1"/>
  <c r="C34" i="1" l="1"/>
  <c r="C41" i="1"/>
  <c r="F71" i="20"/>
  <c r="F72" i="20"/>
  <c r="F73" i="20"/>
  <c r="F74" i="20"/>
  <c r="G6" i="68"/>
  <c r="H6" i="68"/>
  <c r="C56" i="1" l="1"/>
  <c r="E34" i="1"/>
  <c r="R41" i="1"/>
  <c r="R56" i="1" s="1"/>
  <c r="L41" i="1"/>
  <c r="L56" i="1" s="1"/>
  <c r="N163" i="84"/>
  <c r="M163" i="84"/>
  <c r="L163" i="84"/>
  <c r="N162" i="84"/>
  <c r="M162" i="84"/>
  <c r="L162" i="84"/>
  <c r="K162" i="84"/>
  <c r="N161" i="84"/>
  <c r="M161" i="84"/>
  <c r="L161" i="84"/>
  <c r="K161" i="84"/>
  <c r="N160" i="84"/>
  <c r="M160" i="84"/>
  <c r="L160" i="84"/>
  <c r="K160" i="84"/>
  <c r="AN154" i="84"/>
  <c r="AM154" i="84"/>
  <c r="AL154" i="84"/>
  <c r="AK154" i="84"/>
  <c r="AJ154" i="84"/>
  <c r="AH154" i="84"/>
  <c r="AG154" i="84"/>
  <c r="AF154" i="84"/>
  <c r="AE154" i="84"/>
  <c r="AN153" i="84"/>
  <c r="AM153" i="84"/>
  <c r="AL153" i="84"/>
  <c r="AJ153" i="84"/>
  <c r="AI153" i="84"/>
  <c r="AH153" i="84"/>
  <c r="AG153" i="84"/>
  <c r="AF153" i="84"/>
  <c r="AE153" i="84"/>
  <c r="O153" i="84"/>
  <c r="AN152" i="84"/>
  <c r="J161" i="84" s="1"/>
  <c r="AM152" i="84"/>
  <c r="I161" i="84" s="1"/>
  <c r="AK152" i="84"/>
  <c r="AJ152" i="84"/>
  <c r="F161" i="84" s="1"/>
  <c r="AI152" i="84"/>
  <c r="E161" i="84" s="1"/>
  <c r="AH152" i="84"/>
  <c r="AG152" i="84"/>
  <c r="AF152" i="84"/>
  <c r="AE152" i="84"/>
  <c r="O152" i="84"/>
  <c r="O151" i="84" s="1"/>
  <c r="AN151" i="84"/>
  <c r="AM151" i="84"/>
  <c r="AL151" i="84"/>
  <c r="AK151" i="84"/>
  <c r="AJ151" i="84"/>
  <c r="AI151" i="84"/>
  <c r="AH151" i="84"/>
  <c r="AG151" i="84"/>
  <c r="AF151" i="84"/>
  <c r="AE151" i="84"/>
  <c r="N151" i="84"/>
  <c r="M151" i="84"/>
  <c r="L151" i="84"/>
  <c r="K151" i="84"/>
  <c r="J151" i="84"/>
  <c r="I151" i="84"/>
  <c r="H151" i="84"/>
  <c r="G151" i="84"/>
  <c r="F151" i="84"/>
  <c r="E151" i="84"/>
  <c r="D151" i="84"/>
  <c r="C151" i="84"/>
  <c r="A151" i="84"/>
  <c r="O150" i="84"/>
  <c r="AN149" i="84"/>
  <c r="AM149" i="84"/>
  <c r="AK149" i="84"/>
  <c r="AJ149" i="84"/>
  <c r="AI149" i="84"/>
  <c r="AH149" i="84"/>
  <c r="AG149" i="84"/>
  <c r="AF149" i="84"/>
  <c r="AE149" i="84"/>
  <c r="O149" i="84"/>
  <c r="AN148" i="84"/>
  <c r="AM148" i="84"/>
  <c r="AK148" i="84"/>
  <c r="AJ148" i="84"/>
  <c r="AI148" i="84"/>
  <c r="AH148" i="84"/>
  <c r="AG148" i="84"/>
  <c r="AF148" i="84"/>
  <c r="AE148" i="84"/>
  <c r="O148" i="84"/>
  <c r="AN147" i="84"/>
  <c r="AM147" i="84"/>
  <c r="AK147" i="84"/>
  <c r="AJ147" i="84"/>
  <c r="AI147" i="84"/>
  <c r="AH147" i="84"/>
  <c r="AG147" i="84"/>
  <c r="AF147" i="84"/>
  <c r="AE147" i="84"/>
  <c r="O147" i="84"/>
  <c r="AN146" i="84"/>
  <c r="AM146" i="84"/>
  <c r="AL146" i="84"/>
  <c r="AK146" i="84"/>
  <c r="AI146" i="84"/>
  <c r="AH146" i="84"/>
  <c r="AG146" i="84"/>
  <c r="AF146" i="84"/>
  <c r="AE146" i="84"/>
  <c r="O146" i="84"/>
  <c r="AN145" i="84"/>
  <c r="AM145" i="84"/>
  <c r="AK145" i="84"/>
  <c r="AJ145" i="84"/>
  <c r="AI145" i="84"/>
  <c r="AH145" i="84"/>
  <c r="AG145" i="84"/>
  <c r="AF145" i="84"/>
  <c r="AE145" i="84"/>
  <c r="O145" i="84"/>
  <c r="AN144" i="84"/>
  <c r="AM144" i="84"/>
  <c r="AK144" i="84"/>
  <c r="AJ144" i="84"/>
  <c r="AI144" i="84"/>
  <c r="E162" i="84" s="1"/>
  <c r="AH144" i="84"/>
  <c r="AG144" i="84"/>
  <c r="AF144" i="84"/>
  <c r="AE144" i="84"/>
  <c r="O144" i="84"/>
  <c r="AN143" i="84"/>
  <c r="AM143" i="84"/>
  <c r="AL143" i="84"/>
  <c r="AK143" i="84"/>
  <c r="AJ143" i="84"/>
  <c r="AI143" i="84"/>
  <c r="AH143" i="84"/>
  <c r="AG143" i="84"/>
  <c r="AF143" i="84"/>
  <c r="AE143" i="84"/>
  <c r="N143" i="84"/>
  <c r="M143" i="84"/>
  <c r="L143" i="84"/>
  <c r="K143" i="84"/>
  <c r="J143" i="84"/>
  <c r="I143" i="84"/>
  <c r="H143" i="84"/>
  <c r="G143" i="84"/>
  <c r="F143" i="84"/>
  <c r="E143" i="84"/>
  <c r="D143" i="84"/>
  <c r="C143" i="84"/>
  <c r="A143" i="84"/>
  <c r="AN142" i="84"/>
  <c r="AM142" i="84"/>
  <c r="AL142" i="84"/>
  <c r="AK142" i="84"/>
  <c r="AJ142" i="84"/>
  <c r="AI142" i="84"/>
  <c r="AH142" i="84"/>
  <c r="AG142" i="84"/>
  <c r="AF142" i="84"/>
  <c r="AE142" i="84"/>
  <c r="AN141" i="84"/>
  <c r="AM141" i="84"/>
  <c r="AL141" i="84"/>
  <c r="AK141" i="84"/>
  <c r="AJ141" i="84"/>
  <c r="AI141" i="84"/>
  <c r="AH141" i="84"/>
  <c r="AG141" i="84"/>
  <c r="AF141" i="84"/>
  <c r="AE141" i="84"/>
  <c r="O141" i="84"/>
  <c r="O140" i="84"/>
  <c r="E139" i="84"/>
  <c r="O139" i="84" s="1"/>
  <c r="E138" i="84"/>
  <c r="O138" i="84" s="1"/>
  <c r="AN137" i="84"/>
  <c r="AM137" i="84"/>
  <c r="AL137" i="84"/>
  <c r="AK137" i="84"/>
  <c r="AJ137" i="84"/>
  <c r="AI137" i="84"/>
  <c r="AH137" i="84"/>
  <c r="AG137" i="84"/>
  <c r="AF137" i="84"/>
  <c r="AE137" i="84"/>
  <c r="E137" i="84"/>
  <c r="O137" i="84" s="1"/>
  <c r="AN136" i="84"/>
  <c r="AM136" i="84"/>
  <c r="AL136" i="84"/>
  <c r="AK136" i="84"/>
  <c r="AJ136" i="84"/>
  <c r="AI136" i="84"/>
  <c r="AH136" i="84"/>
  <c r="AG136" i="84"/>
  <c r="AF136" i="84"/>
  <c r="AE136" i="84"/>
  <c r="E136" i="84"/>
  <c r="O136" i="84" s="1"/>
  <c r="AN135" i="84"/>
  <c r="AM135" i="84"/>
  <c r="AL135" i="84"/>
  <c r="AK135" i="84"/>
  <c r="AJ135" i="84"/>
  <c r="AI135" i="84"/>
  <c r="AH135" i="84"/>
  <c r="AG135" i="84"/>
  <c r="AF135" i="84"/>
  <c r="AE135" i="84"/>
  <c r="O135" i="84"/>
  <c r="O134" i="84"/>
  <c r="O133" i="84"/>
  <c r="O132" i="84"/>
  <c r="G131" i="84"/>
  <c r="O131" i="84" s="1"/>
  <c r="K130" i="84"/>
  <c r="O130" i="84" s="1"/>
  <c r="AN129" i="84"/>
  <c r="J163" i="84" s="1"/>
  <c r="AM129" i="84"/>
  <c r="I163" i="84" s="1"/>
  <c r="AL129" i="84"/>
  <c r="AK129" i="84"/>
  <c r="AJ129" i="84"/>
  <c r="AH129" i="84"/>
  <c r="AG129" i="84"/>
  <c r="AF129" i="84"/>
  <c r="AE129" i="84"/>
  <c r="O129" i="84"/>
  <c r="AN128" i="84"/>
  <c r="AM128" i="84"/>
  <c r="AL128" i="84"/>
  <c r="AK128" i="84"/>
  <c r="AJ128" i="84"/>
  <c r="AI128" i="84"/>
  <c r="AH128" i="84"/>
  <c r="AG128" i="84"/>
  <c r="AF128" i="84"/>
  <c r="AE128" i="84"/>
  <c r="N128" i="84"/>
  <c r="M128" i="84"/>
  <c r="L128" i="84"/>
  <c r="J128" i="84"/>
  <c r="I128" i="84"/>
  <c r="H128" i="84"/>
  <c r="G128" i="84"/>
  <c r="F128" i="84"/>
  <c r="D128" i="84"/>
  <c r="C128" i="84"/>
  <c r="A128" i="84"/>
  <c r="AN127" i="84"/>
  <c r="AM127" i="84"/>
  <c r="AL127" i="84"/>
  <c r="AK127" i="84"/>
  <c r="AJ127" i="84"/>
  <c r="AI127" i="84"/>
  <c r="AH127" i="84"/>
  <c r="AG127" i="84"/>
  <c r="AF127" i="84"/>
  <c r="AE127" i="84"/>
  <c r="O127" i="84"/>
  <c r="AN126" i="84"/>
  <c r="AM126" i="84"/>
  <c r="AL126" i="84"/>
  <c r="AK126" i="84"/>
  <c r="AJ126" i="84"/>
  <c r="AI126" i="84"/>
  <c r="AH126" i="84"/>
  <c r="AG126" i="84"/>
  <c r="AF126" i="84"/>
  <c r="AE126" i="84"/>
  <c r="O126" i="84"/>
  <c r="AN125" i="84"/>
  <c r="AM125" i="84"/>
  <c r="AL125" i="84"/>
  <c r="AK125" i="84"/>
  <c r="AJ125" i="84"/>
  <c r="AI125" i="84"/>
  <c r="AH125" i="84"/>
  <c r="AG125" i="84"/>
  <c r="AF125" i="84"/>
  <c r="AE125" i="84"/>
  <c r="O125" i="84"/>
  <c r="AN124" i="84"/>
  <c r="AM124" i="84"/>
  <c r="AL124" i="84"/>
  <c r="AK124" i="84"/>
  <c r="AJ124" i="84"/>
  <c r="AI124" i="84"/>
  <c r="AH124" i="84"/>
  <c r="AG124" i="84"/>
  <c r="AF124" i="84"/>
  <c r="AE124" i="84"/>
  <c r="O124" i="84"/>
  <c r="AN123" i="84"/>
  <c r="AM123" i="84"/>
  <c r="AL123" i="84"/>
  <c r="AK123" i="84"/>
  <c r="AJ123" i="84"/>
  <c r="AI123" i="84"/>
  <c r="AH123" i="84"/>
  <c r="AG123" i="84"/>
  <c r="AF123" i="84"/>
  <c r="AE123" i="84"/>
  <c r="O123" i="84"/>
  <c r="AN122" i="84"/>
  <c r="AM122" i="84"/>
  <c r="AL122" i="84"/>
  <c r="AK122" i="84"/>
  <c r="AJ122" i="84"/>
  <c r="AI122" i="84"/>
  <c r="AH122" i="84"/>
  <c r="AG122" i="84"/>
  <c r="AF122" i="84"/>
  <c r="AE122" i="84"/>
  <c r="N122" i="84"/>
  <c r="M122" i="84"/>
  <c r="L122" i="84"/>
  <c r="K122" i="84"/>
  <c r="J122" i="84"/>
  <c r="I122" i="84"/>
  <c r="H122" i="84"/>
  <c r="G122" i="84"/>
  <c r="F122" i="84"/>
  <c r="E122" i="84"/>
  <c r="D122" i="84"/>
  <c r="C122" i="84"/>
  <c r="A122" i="84"/>
  <c r="O121" i="84"/>
  <c r="O120" i="84"/>
  <c r="O119" i="84"/>
  <c r="O118" i="84"/>
  <c r="O117" i="84"/>
  <c r="O116" i="84"/>
  <c r="O115" i="84"/>
  <c r="O114" i="84"/>
  <c r="O113" i="84"/>
  <c r="O112" i="84"/>
  <c r="O111" i="84"/>
  <c r="O110" i="84"/>
  <c r="O109" i="84"/>
  <c r="AN108" i="84"/>
  <c r="AM108" i="84"/>
  <c r="AL108" i="84"/>
  <c r="AK108" i="84"/>
  <c r="AJ108" i="84"/>
  <c r="AI108" i="84"/>
  <c r="AH108" i="84"/>
  <c r="AG108" i="84"/>
  <c r="AF108" i="84"/>
  <c r="AE108" i="84"/>
  <c r="O108" i="84"/>
  <c r="AN107" i="84"/>
  <c r="AM107" i="84"/>
  <c r="AL107" i="84"/>
  <c r="AK107" i="84"/>
  <c r="AJ107" i="84"/>
  <c r="AI107" i="84"/>
  <c r="AH107" i="84"/>
  <c r="AG107" i="84"/>
  <c r="AF107" i="84"/>
  <c r="AE107" i="84"/>
  <c r="O107" i="84"/>
  <c r="AN106" i="84"/>
  <c r="AM106" i="84"/>
  <c r="AL106" i="84"/>
  <c r="AK106" i="84"/>
  <c r="AJ106" i="84"/>
  <c r="AI106" i="84"/>
  <c r="AH106" i="84"/>
  <c r="AG106" i="84"/>
  <c r="AF106" i="84"/>
  <c r="AE106" i="84"/>
  <c r="O106" i="84"/>
  <c r="AN105" i="84"/>
  <c r="AM105" i="84"/>
  <c r="AL105" i="84"/>
  <c r="AK105" i="84"/>
  <c r="AJ105" i="84"/>
  <c r="AI105" i="84"/>
  <c r="AH105" i="84"/>
  <c r="AG105" i="84"/>
  <c r="AF105" i="84"/>
  <c r="AE105" i="84"/>
  <c r="O105" i="84"/>
  <c r="AN104" i="84"/>
  <c r="AM104" i="84"/>
  <c r="AL104" i="84"/>
  <c r="AK104" i="84"/>
  <c r="AJ104" i="84"/>
  <c r="AI104" i="84"/>
  <c r="AH104" i="84"/>
  <c r="AG104" i="84"/>
  <c r="AF104" i="84"/>
  <c r="AE104" i="84"/>
  <c r="O104" i="84"/>
  <c r="AN103" i="84"/>
  <c r="AM103" i="84"/>
  <c r="AL103" i="84"/>
  <c r="AK103" i="84"/>
  <c r="AJ103" i="84"/>
  <c r="AI103" i="84"/>
  <c r="AH103" i="84"/>
  <c r="AG103" i="84"/>
  <c r="AF103" i="84"/>
  <c r="AE103" i="84"/>
  <c r="O103" i="84"/>
  <c r="AN102" i="84"/>
  <c r="AM102" i="84"/>
  <c r="AL102" i="84"/>
  <c r="AK102" i="84"/>
  <c r="AJ102" i="84"/>
  <c r="AI102" i="84"/>
  <c r="AH102" i="84"/>
  <c r="AG102" i="84"/>
  <c r="AF102" i="84"/>
  <c r="AE102" i="84"/>
  <c r="O102" i="84"/>
  <c r="AN101" i="84"/>
  <c r="AM101" i="84"/>
  <c r="AL101" i="84"/>
  <c r="AK101" i="84"/>
  <c r="AJ101" i="84"/>
  <c r="AI101" i="84"/>
  <c r="AH101" i="84"/>
  <c r="AG101" i="84"/>
  <c r="AF101" i="84"/>
  <c r="AE101" i="84"/>
  <c r="O101" i="84"/>
  <c r="AN100" i="84"/>
  <c r="AM100" i="84"/>
  <c r="AL100" i="84"/>
  <c r="AK100" i="84"/>
  <c r="AJ100" i="84"/>
  <c r="AI100" i="84"/>
  <c r="AH100" i="84"/>
  <c r="AG100" i="84"/>
  <c r="AF100" i="84"/>
  <c r="AE100" i="84"/>
  <c r="O100" i="84"/>
  <c r="AN99" i="84"/>
  <c r="AM99" i="84"/>
  <c r="AL99" i="84"/>
  <c r="AK99" i="84"/>
  <c r="AJ99" i="84"/>
  <c r="AI99" i="84"/>
  <c r="AH99" i="84"/>
  <c r="AG99" i="84"/>
  <c r="AF99" i="84"/>
  <c r="AE99" i="84"/>
  <c r="O99" i="84"/>
  <c r="AN98" i="84"/>
  <c r="AM98" i="84"/>
  <c r="AL98" i="84"/>
  <c r="AK98" i="84"/>
  <c r="AJ98" i="84"/>
  <c r="AI98" i="84"/>
  <c r="AH98" i="84"/>
  <c r="AG98" i="84"/>
  <c r="AF98" i="84"/>
  <c r="AE98" i="84"/>
  <c r="O98" i="84"/>
  <c r="AN97" i="84"/>
  <c r="AM97" i="84"/>
  <c r="AL97" i="84"/>
  <c r="AK97" i="84"/>
  <c r="AJ97" i="84"/>
  <c r="AI97" i="84"/>
  <c r="AH97" i="84"/>
  <c r="AG97" i="84"/>
  <c r="AF97" i="84"/>
  <c r="AE97" i="84"/>
  <c r="O97" i="84"/>
  <c r="AN96" i="84"/>
  <c r="AM96" i="84"/>
  <c r="AL96" i="84"/>
  <c r="AK96" i="84"/>
  <c r="AJ96" i="84"/>
  <c r="AI96" i="84"/>
  <c r="AH96" i="84"/>
  <c r="AG96" i="84"/>
  <c r="AF96" i="84"/>
  <c r="AE96" i="84"/>
  <c r="O96" i="84"/>
  <c r="AN95" i="84"/>
  <c r="AM95" i="84"/>
  <c r="AL95" i="84"/>
  <c r="AK95" i="84"/>
  <c r="AJ95" i="84"/>
  <c r="AI95" i="84"/>
  <c r="AH95" i="84"/>
  <c r="AG95" i="84"/>
  <c r="AF95" i="84"/>
  <c r="AE95" i="84"/>
  <c r="O95" i="84"/>
  <c r="AN94" i="84"/>
  <c r="AM94" i="84"/>
  <c r="AL94" i="84"/>
  <c r="AK94" i="84"/>
  <c r="AJ94" i="84"/>
  <c r="AI94" i="84"/>
  <c r="AH94" i="84"/>
  <c r="AG94" i="84"/>
  <c r="AF94" i="84"/>
  <c r="AE94" i="84"/>
  <c r="O94" i="84"/>
  <c r="AN93" i="84"/>
  <c r="AM93" i="84"/>
  <c r="AL93" i="84"/>
  <c r="AK93" i="84"/>
  <c r="AJ93" i="84"/>
  <c r="AI93" i="84"/>
  <c r="AH93" i="84"/>
  <c r="AG93" i="84"/>
  <c r="AF93" i="84"/>
  <c r="AE93" i="84"/>
  <c r="O93" i="84"/>
  <c r="AN92" i="84"/>
  <c r="AM92" i="84"/>
  <c r="AL92" i="84"/>
  <c r="AK92" i="84"/>
  <c r="AJ92" i="84"/>
  <c r="AI92" i="84"/>
  <c r="AH92" i="84"/>
  <c r="AG92" i="84"/>
  <c r="AF92" i="84"/>
  <c r="AE92" i="84"/>
  <c r="O92" i="84"/>
  <c r="AN91" i="84"/>
  <c r="AM91" i="84"/>
  <c r="AL91" i="84"/>
  <c r="AK91" i="84"/>
  <c r="AJ91" i="84"/>
  <c r="AI91" i="84"/>
  <c r="AH91" i="84"/>
  <c r="AG91" i="84"/>
  <c r="AF91" i="84"/>
  <c r="AE91" i="84"/>
  <c r="O91" i="84"/>
  <c r="AN90" i="84"/>
  <c r="AM90" i="84"/>
  <c r="AL90" i="84"/>
  <c r="AK90" i="84"/>
  <c r="AJ90" i="84"/>
  <c r="AI90" i="84"/>
  <c r="AH90" i="84"/>
  <c r="AG90" i="84"/>
  <c r="AF90" i="84"/>
  <c r="AE90" i="84"/>
  <c r="O90" i="84"/>
  <c r="AN89" i="84"/>
  <c r="AM89" i="84"/>
  <c r="AL89" i="84"/>
  <c r="AK89" i="84"/>
  <c r="AJ89" i="84"/>
  <c r="AI89" i="84"/>
  <c r="AH89" i="84"/>
  <c r="AG89" i="84"/>
  <c r="AF89" i="84"/>
  <c r="AE89" i="84"/>
  <c r="O89" i="84"/>
  <c r="AN88" i="84"/>
  <c r="AM88" i="84"/>
  <c r="AL88" i="84"/>
  <c r="AK88" i="84"/>
  <c r="AJ88" i="84"/>
  <c r="AI88" i="84"/>
  <c r="AH88" i="84"/>
  <c r="AG88" i="84"/>
  <c r="AF88" i="84"/>
  <c r="AE88" i="84"/>
  <c r="O88" i="84"/>
  <c r="AN87" i="84"/>
  <c r="AM87" i="84"/>
  <c r="AL87" i="84"/>
  <c r="AK87" i="84"/>
  <c r="AJ87" i="84"/>
  <c r="AI87" i="84"/>
  <c r="AH87" i="84"/>
  <c r="AG87" i="84"/>
  <c r="AF87" i="84"/>
  <c r="AE87" i="84"/>
  <c r="O87" i="84"/>
  <c r="AN86" i="84"/>
  <c r="AM86" i="84"/>
  <c r="AL86" i="84"/>
  <c r="AK86" i="84"/>
  <c r="AJ86" i="84"/>
  <c r="AI86" i="84"/>
  <c r="AH86" i="84"/>
  <c r="AG86" i="84"/>
  <c r="AF86" i="84"/>
  <c r="AE86" i="84"/>
  <c r="O86" i="84"/>
  <c r="AN85" i="84"/>
  <c r="AM85" i="84"/>
  <c r="AL85" i="84"/>
  <c r="AK85" i="84"/>
  <c r="AJ85" i="84"/>
  <c r="AI85" i="84"/>
  <c r="AH85" i="84"/>
  <c r="AG85" i="84"/>
  <c r="AF85" i="84"/>
  <c r="AE85" i="84"/>
  <c r="O85" i="84"/>
  <c r="AN84" i="84"/>
  <c r="AM84" i="84"/>
  <c r="AL84" i="84"/>
  <c r="AK84" i="84"/>
  <c r="AJ84" i="84"/>
  <c r="AI84" i="84"/>
  <c r="AH84" i="84"/>
  <c r="AG84" i="84"/>
  <c r="AF84" i="84"/>
  <c r="AE84" i="84"/>
  <c r="O84" i="84"/>
  <c r="AN83" i="84"/>
  <c r="AM83" i="84"/>
  <c r="AL83" i="84"/>
  <c r="AK83" i="84"/>
  <c r="AJ83" i="84"/>
  <c r="AI83" i="84"/>
  <c r="AH83" i="84"/>
  <c r="AG83" i="84"/>
  <c r="AF83" i="84"/>
  <c r="AE83" i="84"/>
  <c r="O83" i="84"/>
  <c r="AN82" i="84"/>
  <c r="AM82" i="84"/>
  <c r="AL82" i="84"/>
  <c r="AK82" i="84"/>
  <c r="AJ82" i="84"/>
  <c r="AI82" i="84"/>
  <c r="AH82" i="84"/>
  <c r="AG82" i="84"/>
  <c r="AF82" i="84"/>
  <c r="AE82" i="84"/>
  <c r="O82" i="84"/>
  <c r="AN81" i="84"/>
  <c r="AM81" i="84"/>
  <c r="AL81" i="84"/>
  <c r="AK81" i="84"/>
  <c r="AJ81" i="84"/>
  <c r="AI81" i="84"/>
  <c r="AH81" i="84"/>
  <c r="AG81" i="84"/>
  <c r="AF81" i="84"/>
  <c r="AE81" i="84"/>
  <c r="O81" i="84"/>
  <c r="AN80" i="84"/>
  <c r="AM80" i="84"/>
  <c r="AL80" i="84"/>
  <c r="AK80" i="84"/>
  <c r="AJ80" i="84"/>
  <c r="AI80" i="84"/>
  <c r="AH80" i="84"/>
  <c r="AG80" i="84"/>
  <c r="AF80" i="84"/>
  <c r="AE80" i="84"/>
  <c r="O80" i="84"/>
  <c r="AN79" i="84"/>
  <c r="AM79" i="84"/>
  <c r="AL79" i="84"/>
  <c r="AK79" i="84"/>
  <c r="AJ79" i="84"/>
  <c r="AI79" i="84"/>
  <c r="AH79" i="84"/>
  <c r="AG79" i="84"/>
  <c r="AF79" i="84"/>
  <c r="AE79" i="84"/>
  <c r="O79" i="84"/>
  <c r="AN78" i="84"/>
  <c r="AM78" i="84"/>
  <c r="AL78" i="84"/>
  <c r="AK78" i="84"/>
  <c r="AJ78" i="84"/>
  <c r="AI78" i="84"/>
  <c r="AH78" i="84"/>
  <c r="AG78" i="84"/>
  <c r="AF78" i="84"/>
  <c r="AE78" i="84"/>
  <c r="O78" i="84"/>
  <c r="AN77" i="84"/>
  <c r="AM77" i="84"/>
  <c r="AL77" i="84"/>
  <c r="AJ77" i="84"/>
  <c r="AI77" i="84"/>
  <c r="AH77" i="84"/>
  <c r="AG77" i="84"/>
  <c r="AF77" i="84"/>
  <c r="AE77" i="84"/>
  <c r="O77" i="84"/>
  <c r="AN76" i="84"/>
  <c r="AM76" i="84"/>
  <c r="AK76" i="84"/>
  <c r="AJ76" i="84"/>
  <c r="AI76" i="84"/>
  <c r="AH76" i="84"/>
  <c r="AG76" i="84"/>
  <c r="AF76" i="84"/>
  <c r="AE76" i="84"/>
  <c r="O76" i="84"/>
  <c r="AN75" i="84"/>
  <c r="AM75" i="84"/>
  <c r="AL75" i="84"/>
  <c r="AJ75" i="84"/>
  <c r="AI75" i="84"/>
  <c r="AH75" i="84"/>
  <c r="AG75" i="84"/>
  <c r="AF75" i="84"/>
  <c r="AE75" i="84"/>
  <c r="O75" i="84"/>
  <c r="AN74" i="84"/>
  <c r="AM74" i="84"/>
  <c r="AL74" i="84"/>
  <c r="AK74" i="84"/>
  <c r="AJ74" i="84"/>
  <c r="AI74" i="84"/>
  <c r="AH74" i="84"/>
  <c r="AG74" i="84"/>
  <c r="AF74" i="84"/>
  <c r="AE74" i="84"/>
  <c r="N74" i="84"/>
  <c r="N159" i="84" s="1"/>
  <c r="M74" i="84"/>
  <c r="M159" i="84" s="1"/>
  <c r="L74" i="84"/>
  <c r="L159" i="84" s="1"/>
  <c r="K74" i="84"/>
  <c r="K159" i="84" s="1"/>
  <c r="J74" i="84"/>
  <c r="I74" i="84"/>
  <c r="I159" i="84" s="1"/>
  <c r="H74" i="84"/>
  <c r="G74" i="84"/>
  <c r="F74" i="84"/>
  <c r="E74" i="84"/>
  <c r="E159" i="84" s="1"/>
  <c r="D74" i="84"/>
  <c r="C74" i="84"/>
  <c r="AN73" i="84"/>
  <c r="AM73" i="84"/>
  <c r="AL73" i="84"/>
  <c r="AK73" i="84"/>
  <c r="AJ73" i="84"/>
  <c r="AI73" i="84"/>
  <c r="AH73" i="84"/>
  <c r="AG73" i="84"/>
  <c r="AF73" i="84"/>
  <c r="AE73" i="84"/>
  <c r="M73" i="84"/>
  <c r="J73" i="84"/>
  <c r="I73" i="84"/>
  <c r="H73" i="84"/>
  <c r="E73" i="84"/>
  <c r="AN72" i="84"/>
  <c r="AM72" i="84"/>
  <c r="AL72" i="84"/>
  <c r="AK72" i="84"/>
  <c r="AJ72" i="84"/>
  <c r="AI72" i="84"/>
  <c r="AH72" i="84"/>
  <c r="AG72" i="84"/>
  <c r="AF72" i="84"/>
  <c r="AE72" i="84"/>
  <c r="O72" i="84"/>
  <c r="A72" i="84"/>
  <c r="A73" i="84" s="1"/>
  <c r="A74" i="84" s="1"/>
  <c r="O71" i="84"/>
  <c r="O70" i="84"/>
  <c r="O69" i="84"/>
  <c r="O68" i="84"/>
  <c r="O67" i="84"/>
  <c r="AN66" i="84"/>
  <c r="AM66" i="84"/>
  <c r="AL66" i="84"/>
  <c r="AK66" i="84"/>
  <c r="AJ66" i="84"/>
  <c r="AI66" i="84"/>
  <c r="AH66" i="84"/>
  <c r="AG66" i="84"/>
  <c r="AF66" i="84"/>
  <c r="AE66" i="84"/>
  <c r="O66" i="84"/>
  <c r="AN65" i="84"/>
  <c r="AM65" i="84"/>
  <c r="AL65" i="84"/>
  <c r="AK65" i="84"/>
  <c r="AJ65" i="84"/>
  <c r="AI65" i="84"/>
  <c r="AH65" i="84"/>
  <c r="AG65" i="84"/>
  <c r="AF65" i="84"/>
  <c r="AE65" i="84"/>
  <c r="O65" i="84"/>
  <c r="AN64" i="84"/>
  <c r="AM64" i="84"/>
  <c r="AL64" i="84"/>
  <c r="AK64" i="84"/>
  <c r="AJ64" i="84"/>
  <c r="AI64" i="84"/>
  <c r="AH64" i="84"/>
  <c r="AG64" i="84"/>
  <c r="AF64" i="84"/>
  <c r="AE64" i="84"/>
  <c r="O64" i="84"/>
  <c r="AN63" i="84"/>
  <c r="AM63" i="84"/>
  <c r="AL63" i="84"/>
  <c r="AK63" i="84"/>
  <c r="AJ63" i="84"/>
  <c r="AI63" i="84"/>
  <c r="AH63" i="84"/>
  <c r="AG63" i="84"/>
  <c r="AF63" i="84"/>
  <c r="AE63" i="84"/>
  <c r="O63" i="84"/>
  <c r="AN62" i="84"/>
  <c r="AM62" i="84"/>
  <c r="AL62" i="84"/>
  <c r="AK62" i="84"/>
  <c r="AJ62" i="84"/>
  <c r="AI62" i="84"/>
  <c r="AH62" i="84"/>
  <c r="AG62" i="84"/>
  <c r="AF62" i="84"/>
  <c r="AE62" i="84"/>
  <c r="O62" i="84"/>
  <c r="AN61" i="84"/>
  <c r="AM61" i="84"/>
  <c r="AL61" i="84"/>
  <c r="AK61" i="84"/>
  <c r="AJ61" i="84"/>
  <c r="AI61" i="84"/>
  <c r="AH61" i="84"/>
  <c r="AG61" i="84"/>
  <c r="AF61" i="84"/>
  <c r="AE61" i="84"/>
  <c r="O61" i="84"/>
  <c r="AN60" i="84"/>
  <c r="AM60" i="84"/>
  <c r="AL60" i="84"/>
  <c r="AK60" i="84"/>
  <c r="AJ60" i="84"/>
  <c r="AI60" i="84"/>
  <c r="AH60" i="84"/>
  <c r="AG60" i="84"/>
  <c r="AF60" i="84"/>
  <c r="AE60" i="84"/>
  <c r="O60" i="84"/>
  <c r="AN59" i="84"/>
  <c r="AM59" i="84"/>
  <c r="AL59" i="84"/>
  <c r="AK59" i="84"/>
  <c r="AJ59" i="84"/>
  <c r="AI59" i="84"/>
  <c r="AH59" i="84"/>
  <c r="AG59" i="84"/>
  <c r="AF59" i="84"/>
  <c r="AE59" i="84"/>
  <c r="O59" i="84"/>
  <c r="AN58" i="84"/>
  <c r="AM58" i="84"/>
  <c r="AL58" i="84"/>
  <c r="AK58" i="84"/>
  <c r="AJ58" i="84"/>
  <c r="AI58" i="84"/>
  <c r="AH58" i="84"/>
  <c r="AG58" i="84"/>
  <c r="AF58" i="84"/>
  <c r="AE58" i="84"/>
  <c r="O58" i="84"/>
  <c r="AN57" i="84"/>
  <c r="AM57" i="84"/>
  <c r="AL57" i="84"/>
  <c r="AK57" i="84"/>
  <c r="G160" i="84" s="1"/>
  <c r="AI57" i="84"/>
  <c r="AH57" i="84"/>
  <c r="AG57" i="84"/>
  <c r="AF57" i="84"/>
  <c r="AE57" i="84"/>
  <c r="O57" i="84"/>
  <c r="AN56" i="84"/>
  <c r="AM56" i="84"/>
  <c r="AL56" i="84"/>
  <c r="AK56" i="84"/>
  <c r="AJ56" i="84"/>
  <c r="AI56" i="84"/>
  <c r="AH56" i="84"/>
  <c r="AG56" i="84"/>
  <c r="AF56" i="84"/>
  <c r="AE56" i="84"/>
  <c r="N56" i="84"/>
  <c r="M56" i="84"/>
  <c r="M8" i="84" s="1"/>
  <c r="L56" i="84"/>
  <c r="K56" i="84"/>
  <c r="J56" i="84"/>
  <c r="I56" i="84"/>
  <c r="H56" i="84"/>
  <c r="G56" i="84"/>
  <c r="F56" i="84"/>
  <c r="E56" i="84"/>
  <c r="D56" i="84"/>
  <c r="C56" i="84"/>
  <c r="A56" i="84"/>
  <c r="AN55" i="84"/>
  <c r="AM55" i="84"/>
  <c r="AL55" i="84"/>
  <c r="AK55" i="84"/>
  <c r="AJ55" i="84"/>
  <c r="AI55" i="84"/>
  <c r="AH55" i="84"/>
  <c r="AG55" i="84"/>
  <c r="AF55" i="84"/>
  <c r="AE55" i="84"/>
  <c r="AN54" i="84"/>
  <c r="AM54" i="84"/>
  <c r="AL54" i="84"/>
  <c r="AK54" i="84"/>
  <c r="AJ54" i="84"/>
  <c r="AI54" i="84"/>
  <c r="AH54" i="84"/>
  <c r="AG54" i="84"/>
  <c r="AF54" i="84"/>
  <c r="AE54" i="84"/>
  <c r="O54" i="84"/>
  <c r="AN53" i="84"/>
  <c r="AM53" i="84"/>
  <c r="AL53" i="84"/>
  <c r="AK53" i="84"/>
  <c r="AJ53" i="84"/>
  <c r="AI53" i="84"/>
  <c r="AH53" i="84"/>
  <c r="AG53" i="84"/>
  <c r="AF53" i="84"/>
  <c r="AE53" i="84"/>
  <c r="O53" i="84"/>
  <c r="AN52" i="84"/>
  <c r="AM52" i="84"/>
  <c r="O52" i="84"/>
  <c r="AN51" i="84"/>
  <c r="AM51" i="84"/>
  <c r="O51" i="84"/>
  <c r="AN50" i="84"/>
  <c r="AM50" i="84"/>
  <c r="O50" i="84"/>
  <c r="AN49" i="84"/>
  <c r="AM49" i="84"/>
  <c r="O49" i="84"/>
  <c r="AN48" i="84"/>
  <c r="AM48" i="84"/>
  <c r="O48" i="84"/>
  <c r="AN47" i="84"/>
  <c r="AM47" i="84"/>
  <c r="O47" i="84"/>
  <c r="AN46" i="84"/>
  <c r="AM46" i="84"/>
  <c r="O46" i="84"/>
  <c r="AN45" i="84"/>
  <c r="AM45" i="84"/>
  <c r="O45" i="84"/>
  <c r="AN44" i="84"/>
  <c r="AL44" i="84"/>
  <c r="AK44" i="84"/>
  <c r="AJ44" i="84"/>
  <c r="AI44" i="84"/>
  <c r="AH44" i="84"/>
  <c r="AG44" i="84"/>
  <c r="AF44" i="84"/>
  <c r="AE44" i="84"/>
  <c r="O44" i="84"/>
  <c r="AN43" i="84"/>
  <c r="AL43" i="84"/>
  <c r="AK43" i="84"/>
  <c r="AJ43" i="84"/>
  <c r="AI43" i="84"/>
  <c r="AH43" i="84"/>
  <c r="AG43" i="84"/>
  <c r="AF43" i="84"/>
  <c r="AE43" i="84"/>
  <c r="O43" i="84"/>
  <c r="AN42" i="84"/>
  <c r="AL42" i="84"/>
  <c r="AK42" i="84"/>
  <c r="AJ42" i="84"/>
  <c r="AI42" i="84"/>
  <c r="AH42" i="84"/>
  <c r="AG42" i="84"/>
  <c r="AF42" i="84"/>
  <c r="AE42" i="84"/>
  <c r="O42" i="84"/>
  <c r="AN41" i="84"/>
  <c r="AM41" i="84"/>
  <c r="AL41" i="84"/>
  <c r="AK41" i="84"/>
  <c r="AJ41" i="84"/>
  <c r="AI41" i="84"/>
  <c r="AH41" i="84"/>
  <c r="AG41" i="84"/>
  <c r="AF41" i="84"/>
  <c r="AE41" i="84"/>
  <c r="N41" i="84"/>
  <c r="N158" i="84" s="1"/>
  <c r="M41" i="84"/>
  <c r="M158" i="84" s="1"/>
  <c r="L41" i="84"/>
  <c r="K41" i="84"/>
  <c r="K158" i="84" s="1"/>
  <c r="J41" i="84"/>
  <c r="J157" i="84" s="1"/>
  <c r="I41" i="84"/>
  <c r="H41" i="84"/>
  <c r="G41" i="84"/>
  <c r="F41" i="84"/>
  <c r="E41" i="84"/>
  <c r="D41" i="84"/>
  <c r="C41" i="84"/>
  <c r="AN37" i="84"/>
  <c r="AM37" i="84"/>
  <c r="AK37" i="84"/>
  <c r="AJ37" i="84"/>
  <c r="AI37" i="84"/>
  <c r="AH37" i="84"/>
  <c r="AG37" i="84"/>
  <c r="AF37" i="84"/>
  <c r="AE37" i="84"/>
  <c r="O37" i="84"/>
  <c r="AN36" i="84"/>
  <c r="AL36" i="84"/>
  <c r="AK36" i="84"/>
  <c r="AJ36" i="84"/>
  <c r="AI36" i="84"/>
  <c r="AH36" i="84"/>
  <c r="AG36" i="84"/>
  <c r="AF36" i="84"/>
  <c r="AE36" i="84"/>
  <c r="O36" i="84"/>
  <c r="AN35" i="84"/>
  <c r="AM35" i="84"/>
  <c r="AK35" i="84"/>
  <c r="AJ35" i="84"/>
  <c r="AI35" i="84"/>
  <c r="AH35" i="84"/>
  <c r="AG35" i="84"/>
  <c r="AF35" i="84"/>
  <c r="AE35" i="84"/>
  <c r="O35" i="84"/>
  <c r="AN34" i="84"/>
  <c r="AM34" i="84"/>
  <c r="AK34" i="84"/>
  <c r="AJ34" i="84"/>
  <c r="AI34" i="84"/>
  <c r="AH34" i="84"/>
  <c r="AG34" i="84"/>
  <c r="AF34" i="84"/>
  <c r="AE34" i="84"/>
  <c r="O34" i="84"/>
  <c r="AN33" i="84"/>
  <c r="AM33" i="84"/>
  <c r="AK33" i="84"/>
  <c r="AJ33" i="84"/>
  <c r="AI33" i="84"/>
  <c r="AH33" i="84"/>
  <c r="AG33" i="84"/>
  <c r="AF33" i="84"/>
  <c r="AE33" i="84"/>
  <c r="O33" i="84"/>
  <c r="AN32" i="84"/>
  <c r="AM32" i="84"/>
  <c r="AL32" i="84"/>
  <c r="AJ32" i="84"/>
  <c r="AI32" i="84"/>
  <c r="AH32" i="84"/>
  <c r="AG32" i="84"/>
  <c r="AF32" i="84"/>
  <c r="AE32" i="84"/>
  <c r="O32" i="84"/>
  <c r="AN31" i="84"/>
  <c r="AM31" i="84"/>
  <c r="AL31" i="84"/>
  <c r="AJ31" i="84"/>
  <c r="AI31" i="84"/>
  <c r="AH31" i="84"/>
  <c r="AG31" i="84"/>
  <c r="AF31" i="84"/>
  <c r="AE31" i="84"/>
  <c r="O31" i="84"/>
  <c r="O29" i="84"/>
  <c r="O28" i="84"/>
  <c r="O27" i="84"/>
  <c r="O26" i="84"/>
  <c r="A26" i="84"/>
  <c r="O25" i="84"/>
  <c r="O24" i="84"/>
  <c r="O23" i="84"/>
  <c r="A23" i="84"/>
  <c r="O22" i="84"/>
  <c r="O21" i="84"/>
  <c r="O20" i="84"/>
  <c r="A20" i="84"/>
  <c r="O19" i="84"/>
  <c r="O18" i="84"/>
  <c r="AN17" i="84"/>
  <c r="AM17" i="84"/>
  <c r="AL17" i="84"/>
  <c r="AK17" i="84"/>
  <c r="AJ17" i="84"/>
  <c r="AH17" i="84"/>
  <c r="AG17" i="84"/>
  <c r="AF17" i="84"/>
  <c r="AE17" i="84"/>
  <c r="O17" i="84"/>
  <c r="A17" i="84"/>
  <c r="AN16" i="84"/>
  <c r="AM16" i="84"/>
  <c r="AL16" i="84"/>
  <c r="AK16" i="84"/>
  <c r="AJ16" i="84"/>
  <c r="AH16" i="84"/>
  <c r="AG16" i="84"/>
  <c r="AF16" i="84"/>
  <c r="AE16" i="84"/>
  <c r="O16" i="84"/>
  <c r="AN15" i="84"/>
  <c r="AM15" i="84"/>
  <c r="AL15" i="84"/>
  <c r="AK15" i="84"/>
  <c r="AI15" i="84"/>
  <c r="AH15" i="84"/>
  <c r="AG15" i="84"/>
  <c r="AF15" i="84"/>
  <c r="AE15" i="84"/>
  <c r="O15" i="84"/>
  <c r="AN14" i="84"/>
  <c r="AM14" i="84"/>
  <c r="AL14" i="84"/>
  <c r="AK14" i="84"/>
  <c r="AI14" i="84"/>
  <c r="AH14" i="84"/>
  <c r="AG14" i="84"/>
  <c r="AF14" i="84"/>
  <c r="AE14" i="84"/>
  <c r="O14" i="84"/>
  <c r="A14" i="84"/>
  <c r="AN13" i="84"/>
  <c r="AM13" i="84"/>
  <c r="AL13" i="84"/>
  <c r="AK13" i="84"/>
  <c r="AJ13" i="84"/>
  <c r="AH13" i="84"/>
  <c r="AG13" i="84"/>
  <c r="AF13" i="84"/>
  <c r="AE13" i="84"/>
  <c r="O13" i="84"/>
  <c r="AN12" i="84"/>
  <c r="AM12" i="84"/>
  <c r="AL12" i="84"/>
  <c r="AK12" i="84"/>
  <c r="AJ12" i="84"/>
  <c r="AH12" i="84"/>
  <c r="AG12" i="84"/>
  <c r="AF12" i="84"/>
  <c r="AE12" i="84"/>
  <c r="O12" i="84"/>
  <c r="N10" i="84"/>
  <c r="M10" i="84"/>
  <c r="L10" i="84"/>
  <c r="K10" i="84"/>
  <c r="J10" i="84"/>
  <c r="J8" i="84" s="1"/>
  <c r="I10" i="84"/>
  <c r="H10" i="84"/>
  <c r="H8" i="84" s="1"/>
  <c r="G10" i="84"/>
  <c r="F10" i="84"/>
  <c r="E10" i="84"/>
  <c r="D10" i="84"/>
  <c r="C10" i="84"/>
  <c r="A10" i="84"/>
  <c r="A9" i="84"/>
  <c r="D7" i="84"/>
  <c r="E7" i="84" s="1"/>
  <c r="F7" i="84" s="1"/>
  <c r="G7" i="84" s="1"/>
  <c r="H7" i="84" s="1"/>
  <c r="I7" i="84" s="1"/>
  <c r="J7" i="84" s="1"/>
  <c r="K7" i="84" s="1"/>
  <c r="L7" i="84" s="1"/>
  <c r="M7" i="84" s="1"/>
  <c r="N7" i="84" s="1"/>
  <c r="AE6" i="84"/>
  <c r="V6" i="84"/>
  <c r="AF6" i="84" s="1"/>
  <c r="E6" i="84"/>
  <c r="F6" i="84" s="1"/>
  <c r="G6" i="84" s="1"/>
  <c r="H6" i="84" s="1"/>
  <c r="I6" i="84" s="1"/>
  <c r="J6" i="84" s="1"/>
  <c r="K6" i="84" s="1"/>
  <c r="L6" i="84" s="1"/>
  <c r="M6" i="84" s="1"/>
  <c r="N6" i="84" s="1"/>
  <c r="K73" i="84" l="1"/>
  <c r="F163" i="84"/>
  <c r="H160" i="84"/>
  <c r="L73" i="84"/>
  <c r="L8" i="84" s="1"/>
  <c r="H163" i="84"/>
  <c r="G162" i="84"/>
  <c r="I162" i="84"/>
  <c r="I160" i="84"/>
  <c r="O74" i="84"/>
  <c r="J162" i="84"/>
  <c r="G73" i="84"/>
  <c r="G8" i="84" s="1"/>
  <c r="N73" i="84"/>
  <c r="N8" i="84" s="1"/>
  <c r="O143" i="84"/>
  <c r="E160" i="84"/>
  <c r="J159" i="84"/>
  <c r="C73" i="84"/>
  <c r="C8" i="84" s="1"/>
  <c r="E128" i="84"/>
  <c r="E8" i="84" s="1"/>
  <c r="O122" i="84"/>
  <c r="L158" i="84"/>
  <c r="J160" i="84"/>
  <c r="N41" i="1"/>
  <c r="E41" i="1"/>
  <c r="F73" i="84"/>
  <c r="F8" i="84" s="1"/>
  <c r="W6" i="84"/>
  <c r="O10" i="84"/>
  <c r="D73" i="84"/>
  <c r="O73" i="84" s="1"/>
  <c r="F159" i="84"/>
  <c r="I8" i="84"/>
  <c r="K128" i="84"/>
  <c r="O128" i="84" s="1"/>
  <c r="J158" i="84"/>
  <c r="J164" i="84" s="1"/>
  <c r="K163" i="84"/>
  <c r="M157" i="84"/>
  <c r="M164" i="84" s="1"/>
  <c r="O41" i="84"/>
  <c r="N157" i="84"/>
  <c r="N164" i="84" s="1"/>
  <c r="O56" i="84"/>
  <c r="G163" i="84"/>
  <c r="L157" i="84" l="1"/>
  <c r="L164" i="84" s="1"/>
  <c r="K157" i="84"/>
  <c r="K164" i="84" s="1"/>
  <c r="K8" i="84"/>
  <c r="AG6" i="84"/>
  <c r="X6" i="84"/>
  <c r="D8" i="84"/>
  <c r="O8" i="84" s="1"/>
  <c r="AH6" i="84" l="1"/>
  <c r="Y6" i="84"/>
  <c r="Z6" i="84" l="1"/>
  <c r="AI6" i="84"/>
  <c r="AI13" i="84" l="1"/>
  <c r="AI129" i="84"/>
  <c r="E163" i="84" s="1"/>
  <c r="O163" i="84" s="1"/>
  <c r="AI17" i="84"/>
  <c r="AI154" i="84"/>
  <c r="AI12" i="84"/>
  <c r="AI16" i="84"/>
  <c r="AA6" i="84"/>
  <c r="AJ6" i="84"/>
  <c r="AK6" i="84" l="1"/>
  <c r="AB6" i="84"/>
  <c r="AJ57" i="84"/>
  <c r="F160" i="84" s="1"/>
  <c r="O160" i="84" s="1"/>
  <c r="AJ14" i="84"/>
  <c r="AJ146" i="84"/>
  <c r="F162" i="84" s="1"/>
  <c r="AJ15" i="84"/>
  <c r="E157" i="84"/>
  <c r="E164" i="84" s="1"/>
  <c r="E158" i="84"/>
  <c r="F158" i="84" l="1"/>
  <c r="F157" i="84"/>
  <c r="F164" i="84" s="1"/>
  <c r="AC6" i="84"/>
  <c r="AL6" i="84"/>
  <c r="AK75" i="84"/>
  <c r="G159" i="84" s="1"/>
  <c r="AK77" i="84"/>
  <c r="AK153" i="84"/>
  <c r="G161" i="84" s="1"/>
  <c r="AK32" i="84"/>
  <c r="AK31" i="84"/>
  <c r="AL144" i="84" l="1"/>
  <c r="AL34" i="84"/>
  <c r="AL149" i="84"/>
  <c r="AL37" i="84"/>
  <c r="AL148" i="84"/>
  <c r="AL152" i="84"/>
  <c r="H161" i="84" s="1"/>
  <c r="O161" i="84" s="1"/>
  <c r="AL145" i="84"/>
  <c r="AL76" i="84"/>
  <c r="H159" i="84" s="1"/>
  <c r="O159" i="84" s="1"/>
  <c r="AL147" i="84"/>
  <c r="AL33" i="84"/>
  <c r="AL35" i="84"/>
  <c r="AM6" i="84"/>
  <c r="AD6" i="84"/>
  <c r="AN6" i="84" s="1"/>
  <c r="G157" i="84"/>
  <c r="G164" i="84" s="1"/>
  <c r="G158" i="84"/>
  <c r="AM44" i="84" l="1"/>
  <c r="AM36" i="84"/>
  <c r="AM42" i="84"/>
  <c r="AM43" i="84"/>
  <c r="H158" i="84"/>
  <c r="H157" i="84"/>
  <c r="H164" i="84" s="1"/>
  <c r="H162" i="84"/>
  <c r="O162" i="84" s="1"/>
  <c r="I158" i="84" l="1"/>
  <c r="O158" i="84" s="1"/>
  <c r="I157" i="84"/>
  <c r="I164" i="84" s="1"/>
  <c r="F70" i="20" l="1"/>
  <c r="E8" i="20"/>
  <c r="E26" i="20"/>
  <c r="F26" i="20" s="1"/>
  <c r="E25" i="20"/>
  <c r="F25" i="20" s="1"/>
  <c r="E32" i="20"/>
  <c r="E31" i="20"/>
  <c r="E30" i="20"/>
  <c r="E29" i="20"/>
  <c r="E10" i="20"/>
  <c r="F6" i="68"/>
  <c r="E50" i="20" l="1"/>
  <c r="F50" i="20" s="1"/>
  <c r="E51" i="20"/>
  <c r="F51" i="20" s="1"/>
  <c r="E19" i="20"/>
  <c r="E9" i="20"/>
  <c r="D6" i="68" l="1"/>
  <c r="E24" i="68"/>
  <c r="F24" i="68"/>
  <c r="G24" i="68"/>
  <c r="D24" i="68"/>
  <c r="B26" i="68"/>
  <c r="C5" i="52" l="1"/>
  <c r="M84" i="78"/>
  <c r="S84" i="78" s="1"/>
  <c r="T77" i="78"/>
  <c r="T78" i="78"/>
  <c r="T79" i="78"/>
  <c r="T76" i="78"/>
  <c r="P80" i="78"/>
  <c r="T67" i="78"/>
  <c r="T66" i="78"/>
  <c r="R68" i="78"/>
  <c r="Q61" i="78"/>
  <c r="R61" i="78"/>
  <c r="S61" i="78"/>
  <c r="T61" i="78" s="1"/>
  <c r="P61" i="78"/>
  <c r="T58" i="78"/>
  <c r="T57" i="78"/>
  <c r="T56" i="78"/>
  <c r="T55" i="78"/>
  <c r="T60" i="78"/>
  <c r="T54" i="78"/>
  <c r="T49" i="78"/>
  <c r="T47" i="78"/>
  <c r="T48" i="78"/>
  <c r="T46" i="78"/>
  <c r="S50" i="78"/>
  <c r="Q50" i="78"/>
  <c r="T37" i="78"/>
  <c r="S38" i="78"/>
  <c r="T30" i="78"/>
  <c r="T36" i="78"/>
  <c r="T35" i="78"/>
  <c r="T34" i="78"/>
  <c r="T33" i="78"/>
  <c r="T32" i="78"/>
  <c r="T31" i="78"/>
  <c r="T24" i="78"/>
  <c r="T25" i="78"/>
  <c r="T26" i="78"/>
  <c r="T27" i="78"/>
  <c r="T29" i="78"/>
  <c r="T28" i="78"/>
  <c r="T23" i="78"/>
  <c r="T22" i="78"/>
  <c r="T20" i="78"/>
  <c r="T16" i="78"/>
  <c r="T15" i="78"/>
  <c r="T11" i="78"/>
  <c r="R38" i="78"/>
  <c r="Q38" i="78"/>
  <c r="J38" i="78"/>
  <c r="J39" i="78"/>
  <c r="J40" i="78"/>
  <c r="J41" i="78"/>
  <c r="J42" i="78"/>
  <c r="J43" i="78"/>
  <c r="J44" i="78"/>
  <c r="J45" i="78"/>
  <c r="I40" i="78"/>
  <c r="I41" i="78"/>
  <c r="I42" i="78"/>
  <c r="I43" i="78"/>
  <c r="I44" i="78"/>
  <c r="I45" i="78"/>
  <c r="I46" i="78"/>
  <c r="I38" i="78"/>
  <c r="D47" i="78"/>
  <c r="E47" i="78"/>
  <c r="F47" i="78"/>
  <c r="C59" i="78" s="1"/>
  <c r="G47" i="78"/>
  <c r="D59" i="78" s="1"/>
  <c r="C47" i="78"/>
  <c r="I33" i="78"/>
  <c r="I34" i="78"/>
  <c r="I32" i="78"/>
  <c r="I28" i="78"/>
  <c r="I29" i="78"/>
  <c r="H29" i="78"/>
  <c r="H28" i="78"/>
  <c r="F35" i="78"/>
  <c r="D60" i="78" s="1"/>
  <c r="C35" i="78"/>
  <c r="T38" i="78" l="1"/>
  <c r="F26" i="78" l="1"/>
  <c r="D58" i="78" s="1"/>
  <c r="F58" i="78" s="1"/>
  <c r="I11" i="78" l="1"/>
  <c r="H11" i="78"/>
  <c r="C8" i="52" l="1"/>
  <c r="C3" i="68" s="1"/>
  <c r="C7" i="52"/>
  <c r="C2" i="68" s="1"/>
  <c r="F12" i="68" l="1"/>
  <c r="D12" i="68"/>
  <c r="E12" i="68"/>
  <c r="T41" i="1"/>
  <c r="E13" i="68" l="1"/>
  <c r="D13" i="68" l="1"/>
  <c r="E17" i="81" l="1"/>
  <c r="E19" i="81"/>
  <c r="E20" i="81"/>
  <c r="E25" i="81"/>
  <c r="H20" i="81" l="1"/>
  <c r="H25" i="81"/>
  <c r="G17" i="81"/>
  <c r="G20" i="81"/>
  <c r="G25" i="81"/>
  <c r="F17" i="81"/>
  <c r="F20" i="81"/>
  <c r="D20" i="81" s="1"/>
  <c r="F25" i="81"/>
  <c r="E49" i="82"/>
  <c r="G51" i="82"/>
  <c r="F51" i="82"/>
  <c r="E51" i="82"/>
  <c r="G50" i="82"/>
  <c r="F50" i="82"/>
  <c r="E50" i="82"/>
  <c r="G49" i="82"/>
  <c r="F49" i="82"/>
  <c r="G48" i="82"/>
  <c r="F48" i="82"/>
  <c r="E48" i="82"/>
  <c r="I9" i="82"/>
  <c r="I16" i="82" s="1"/>
  <c r="D34" i="81"/>
  <c r="C29" i="81"/>
  <c r="B29" i="81"/>
  <c r="C28" i="81"/>
  <c r="B28" i="81"/>
  <c r="C27" i="81"/>
  <c r="B27" i="81"/>
  <c r="C26" i="81"/>
  <c r="B26" i="81"/>
  <c r="B25" i="81"/>
  <c r="C24" i="81"/>
  <c r="B24" i="81"/>
  <c r="C23" i="81"/>
  <c r="B23" i="81"/>
  <c r="C22" i="81"/>
  <c r="B22" i="81"/>
  <c r="C21" i="81"/>
  <c r="B21" i="81"/>
  <c r="B20" i="81"/>
  <c r="C18" i="81"/>
  <c r="B18" i="81"/>
  <c r="C17" i="81"/>
  <c r="B17" i="81"/>
  <c r="C16" i="81"/>
  <c r="B16" i="81"/>
  <c r="C15" i="81"/>
  <c r="B15" i="81"/>
  <c r="C14" i="81"/>
  <c r="B14" i="81"/>
  <c r="C13" i="81"/>
  <c r="B13" i="81"/>
  <c r="C12" i="81"/>
  <c r="B12" i="81"/>
  <c r="B11" i="81"/>
  <c r="D25" i="81" l="1"/>
  <c r="J16" i="82"/>
  <c r="I23" i="82"/>
  <c r="J9" i="82"/>
  <c r="J23" i="82" l="1"/>
  <c r="I29" i="82"/>
  <c r="J29" i="82" l="1"/>
  <c r="I36" i="82"/>
  <c r="I43" i="82" l="1"/>
  <c r="J43" i="82" s="1"/>
  <c r="J36" i="82"/>
  <c r="J51" i="82" s="1"/>
  <c r="I10" i="13" l="1"/>
  <c r="H10" i="13"/>
  <c r="G76" i="1"/>
  <c r="G75" i="1"/>
  <c r="G74" i="1"/>
  <c r="G73" i="1"/>
  <c r="D21" i="68"/>
  <c r="D25" i="68" s="1"/>
  <c r="H79" i="80"/>
  <c r="G79" i="80"/>
  <c r="F79" i="80"/>
  <c r="E79" i="80"/>
  <c r="F6" i="80"/>
  <c r="H10" i="62" l="1"/>
  <c r="H32" i="13"/>
  <c r="I10" i="62"/>
  <c r="I32" i="13"/>
  <c r="C6" i="52"/>
  <c r="G6" i="80"/>
  <c r="E3" i="68"/>
  <c r="G10" i="13"/>
  <c r="E2" i="68"/>
  <c r="D10" i="68" s="1"/>
  <c r="F10" i="13"/>
  <c r="G21" i="68"/>
  <c r="G25" i="68" s="1"/>
  <c r="F21" i="68"/>
  <c r="F25" i="68" s="1"/>
  <c r="F10" i="62" l="1"/>
  <c r="F32" i="13"/>
  <c r="K32" i="13" s="1"/>
  <c r="G10" i="62"/>
  <c r="G32" i="13"/>
  <c r="I10" i="63"/>
  <c r="I32" i="62"/>
  <c r="H10" i="63"/>
  <c r="H32" i="62"/>
  <c r="F10" i="68"/>
  <c r="E10" i="68"/>
  <c r="F11" i="68"/>
  <c r="E11" i="68"/>
  <c r="H6" i="80"/>
  <c r="I6" i="80" s="1"/>
  <c r="E21" i="68"/>
  <c r="E25" i="68" s="1"/>
  <c r="D11" i="68"/>
  <c r="D15" i="68" s="1"/>
  <c r="D18" i="68" s="1"/>
  <c r="H10" i="61" l="1"/>
  <c r="H32" i="61" s="1"/>
  <c r="H32" i="63"/>
  <c r="E15" i="68"/>
  <c r="I10" i="61"/>
  <c r="I32" i="61" s="1"/>
  <c r="I32" i="63"/>
  <c r="C29" i="48"/>
  <c r="G10" i="63"/>
  <c r="G32" i="62"/>
  <c r="F10" i="63"/>
  <c r="F32" i="62"/>
  <c r="K32" i="62" s="1"/>
  <c r="E33" i="20"/>
  <c r="F32" i="20"/>
  <c r="F31" i="20"/>
  <c r="F30" i="20"/>
  <c r="F29" i="20"/>
  <c r="Q80" i="78"/>
  <c r="C57" i="78" s="1"/>
  <c r="E24" i="20"/>
  <c r="F24" i="20" s="1"/>
  <c r="E23" i="20"/>
  <c r="E22" i="20"/>
  <c r="E18" i="20"/>
  <c r="E17" i="20"/>
  <c r="E13" i="20"/>
  <c r="E12" i="20"/>
  <c r="E11" i="20"/>
  <c r="D137" i="78"/>
  <c r="D136" i="78"/>
  <c r="S80" i="78"/>
  <c r="R80" i="78"/>
  <c r="D57" i="78" s="1"/>
  <c r="S68" i="78"/>
  <c r="Q68" i="78"/>
  <c r="Q70" i="78" s="1"/>
  <c r="C56" i="78" s="1"/>
  <c r="P68" i="78"/>
  <c r="R50" i="78"/>
  <c r="E35" i="78"/>
  <c r="D35" i="78"/>
  <c r="H34" i="78"/>
  <c r="H33" i="78"/>
  <c r="H32" i="78"/>
  <c r="E26" i="78"/>
  <c r="D26" i="78"/>
  <c r="C26" i="78"/>
  <c r="E29" i="48" l="1"/>
  <c r="T80" i="78"/>
  <c r="E57" i="78"/>
  <c r="F57" i="78" s="1"/>
  <c r="I26" i="78"/>
  <c r="C58" i="78"/>
  <c r="F10" i="61"/>
  <c r="F32" i="61" s="1"/>
  <c r="K32" i="61" s="1"/>
  <c r="F32" i="63"/>
  <c r="G10" i="61"/>
  <c r="G32" i="61" s="1"/>
  <c r="G32" i="63"/>
  <c r="I35" i="78"/>
  <c r="C60" i="78"/>
  <c r="C61" i="78" s="1"/>
  <c r="T50" i="78"/>
  <c r="R70" i="78"/>
  <c r="D56" i="78" s="1"/>
  <c r="E18" i="68"/>
  <c r="D19" i="68"/>
  <c r="D20" i="68" s="1"/>
  <c r="D22" i="68" s="1"/>
  <c r="D26" i="68" s="1"/>
  <c r="T68" i="78"/>
  <c r="S70" i="78"/>
  <c r="H47" i="78"/>
  <c r="I15" i="78"/>
  <c r="H15" i="78"/>
  <c r="I20" i="78"/>
  <c r="H20" i="78"/>
  <c r="I16" i="78"/>
  <c r="H16" i="78"/>
  <c r="I17" i="78"/>
  <c r="H17" i="78"/>
  <c r="I25" i="78"/>
  <c r="H25" i="78"/>
  <c r="I18" i="78"/>
  <c r="H18" i="78"/>
  <c r="I24" i="78"/>
  <c r="H24" i="78"/>
  <c r="I21" i="78"/>
  <c r="H21" i="78"/>
  <c r="I22" i="78"/>
  <c r="H22" i="78"/>
  <c r="I23" i="78"/>
  <c r="H23" i="78"/>
  <c r="I13" i="78"/>
  <c r="H13" i="78"/>
  <c r="I19" i="78"/>
  <c r="H19" i="78"/>
  <c r="I12" i="78"/>
  <c r="H12" i="78"/>
  <c r="I14" i="78"/>
  <c r="H14" i="78"/>
  <c r="G35" i="78"/>
  <c r="E60" i="78" s="1"/>
  <c r="F60" i="78" s="1"/>
  <c r="F33" i="20"/>
  <c r="D138" i="78"/>
  <c r="D74" i="75"/>
  <c r="G8" i="20"/>
  <c r="E61" i="20"/>
  <c r="D61" i="78" l="1"/>
  <c r="D62" i="78" s="1"/>
  <c r="D99" i="78"/>
  <c r="D100" i="78" s="1"/>
  <c r="I29" i="48"/>
  <c r="S83" i="78"/>
  <c r="E56" i="78"/>
  <c r="J47" i="78"/>
  <c r="E59" i="78"/>
  <c r="F59" i="78" s="1"/>
  <c r="K32" i="63"/>
  <c r="T70" i="78"/>
  <c r="I47" i="78"/>
  <c r="D103" i="78"/>
  <c r="H26" i="78"/>
  <c r="D141" i="78"/>
  <c r="D142" i="78"/>
  <c r="D104" i="78"/>
  <c r="C193" i="79"/>
  <c r="D143" i="78"/>
  <c r="D105" i="78"/>
  <c r="D107" i="78" s="1"/>
  <c r="D140" i="78"/>
  <c r="D102" i="78"/>
  <c r="G29" i="48" l="1"/>
  <c r="E61" i="78"/>
  <c r="F56" i="78"/>
  <c r="D193" i="79"/>
  <c r="E62" i="78"/>
  <c r="D25" i="62"/>
  <c r="E41" i="20"/>
  <c r="C17" i="1" s="1"/>
  <c r="D41" i="20"/>
  <c r="B41" i="20"/>
  <c r="D47" i="20"/>
  <c r="B47" i="20"/>
  <c r="E63" i="20"/>
  <c r="E55" i="20"/>
  <c r="E54" i="20"/>
  <c r="D39" i="20"/>
  <c r="B39" i="20"/>
  <c r="G76" i="66"/>
  <c r="G75" i="66"/>
  <c r="G74" i="66"/>
  <c r="G73" i="66"/>
  <c r="H73" i="66"/>
  <c r="E66" i="77"/>
  <c r="E40" i="77"/>
  <c r="E39" i="77"/>
  <c r="E38" i="77"/>
  <c r="E37" i="77"/>
  <c r="E36" i="77"/>
  <c r="E35" i="77"/>
  <c r="E34" i="77"/>
  <c r="E33" i="77"/>
  <c r="E32" i="77"/>
  <c r="E30" i="77"/>
  <c r="E29" i="77"/>
  <c r="E28" i="77"/>
  <c r="E27" i="77"/>
  <c r="G68" i="77" s="1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7" i="77"/>
  <c r="E6" i="77"/>
  <c r="E5" i="77"/>
  <c r="A4" i="77"/>
  <c r="A5" i="77" s="1"/>
  <c r="A6" i="77" s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5" i="77" s="1"/>
  <c r="A46" i="77" s="1"/>
  <c r="A47" i="77" s="1"/>
  <c r="A48" i="77" s="1"/>
  <c r="A49" i="77" s="1"/>
  <c r="A50" i="77" s="1"/>
  <c r="A54" i="77" s="1"/>
  <c r="A55" i="77" s="1"/>
  <c r="A59" i="77" s="1"/>
  <c r="A60" i="77" s="1"/>
  <c r="A61" i="77" s="1"/>
  <c r="A62" i="77" s="1"/>
  <c r="A63" i="77" s="1"/>
  <c r="A64" i="77" s="1"/>
  <c r="A65" i="77" s="1"/>
  <c r="A66" i="77" s="1"/>
  <c r="E3" i="77"/>
  <c r="E40" i="76"/>
  <c r="E39" i="76"/>
  <c r="E38" i="76"/>
  <c r="E37" i="76"/>
  <c r="E36" i="76"/>
  <c r="E35" i="76"/>
  <c r="E34" i="76"/>
  <c r="E33" i="76"/>
  <c r="E32" i="76"/>
  <c r="E30" i="76"/>
  <c r="E29" i="76"/>
  <c r="E28" i="76"/>
  <c r="E27" i="76"/>
  <c r="E26" i="76"/>
  <c r="E25" i="76"/>
  <c r="H71" i="76" s="1"/>
  <c r="H76" i="76" s="1"/>
  <c r="E24" i="76"/>
  <c r="E23" i="76"/>
  <c r="H70" i="76" s="1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E6" i="76"/>
  <c r="E5" i="76"/>
  <c r="A4" i="76"/>
  <c r="A5" i="76" s="1"/>
  <c r="A6" i="76" s="1"/>
  <c r="A7" i="76" s="1"/>
  <c r="A8" i="76" s="1"/>
  <c r="A9" i="76" s="1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5" i="76" s="1"/>
  <c r="A46" i="76" s="1"/>
  <c r="A47" i="76" s="1"/>
  <c r="A48" i="76" s="1"/>
  <c r="A49" i="76" s="1"/>
  <c r="A50" i="76" s="1"/>
  <c r="A54" i="76" s="1"/>
  <c r="A55" i="76" s="1"/>
  <c r="A59" i="76" s="1"/>
  <c r="A60" i="76" s="1"/>
  <c r="A61" i="76" s="1"/>
  <c r="A62" i="76" s="1"/>
  <c r="A63" i="76" s="1"/>
  <c r="A64" i="76" s="1"/>
  <c r="A65" i="76" s="1"/>
  <c r="A66" i="76" s="1"/>
  <c r="E3" i="76"/>
  <c r="J68" i="75"/>
  <c r="E40" i="75"/>
  <c r="E39" i="75"/>
  <c r="E38" i="75"/>
  <c r="E37" i="75"/>
  <c r="E36" i="75"/>
  <c r="E35" i="75"/>
  <c r="E34" i="75"/>
  <c r="E33" i="75"/>
  <c r="E32" i="75"/>
  <c r="E30" i="75"/>
  <c r="E29" i="75"/>
  <c r="E28" i="75"/>
  <c r="E27" i="75"/>
  <c r="E26" i="75"/>
  <c r="E25" i="75"/>
  <c r="E24" i="75"/>
  <c r="E23" i="75"/>
  <c r="E22" i="75"/>
  <c r="E21" i="75"/>
  <c r="E20" i="75"/>
  <c r="E19" i="75"/>
  <c r="E18" i="75"/>
  <c r="C17" i="75"/>
  <c r="E17" i="75" s="1"/>
  <c r="E16" i="75"/>
  <c r="E15" i="75"/>
  <c r="C14" i="75"/>
  <c r="E14" i="75" s="1"/>
  <c r="E13" i="75"/>
  <c r="E12" i="75"/>
  <c r="E11" i="75"/>
  <c r="E10" i="75"/>
  <c r="E9" i="75"/>
  <c r="E8" i="75"/>
  <c r="E7" i="75"/>
  <c r="E6" i="75"/>
  <c r="E5" i="75"/>
  <c r="A4" i="75"/>
  <c r="A5" i="75" s="1"/>
  <c r="A6" i="75" s="1"/>
  <c r="A7" i="75" s="1"/>
  <c r="A8" i="75" s="1"/>
  <c r="A9" i="75" s="1"/>
  <c r="A10" i="75" s="1"/>
  <c r="A11" i="75" s="1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5" i="75" s="1"/>
  <c r="A46" i="75" s="1"/>
  <c r="A47" i="75" s="1"/>
  <c r="A48" i="75" s="1"/>
  <c r="A49" i="75" s="1"/>
  <c r="A50" i="75" s="1"/>
  <c r="A54" i="75" s="1"/>
  <c r="A55" i="75" s="1"/>
  <c r="A59" i="75" s="1"/>
  <c r="A60" i="75" s="1"/>
  <c r="A61" i="75" s="1"/>
  <c r="A62" i="75" s="1"/>
  <c r="A63" i="75" s="1"/>
  <c r="A64" i="75" s="1"/>
  <c r="A65" i="75" s="1"/>
  <c r="A66" i="75" s="1"/>
  <c r="E3" i="75"/>
  <c r="F41" i="20" l="1"/>
  <c r="E42" i="75"/>
  <c r="H74" i="75"/>
  <c r="H79" i="75" s="1"/>
  <c r="F26" i="75"/>
  <c r="E39" i="20"/>
  <c r="F39" i="20" s="1"/>
  <c r="H74" i="66"/>
  <c r="G68" i="75"/>
  <c r="F25" i="75"/>
  <c r="E42" i="76"/>
  <c r="E43" i="76" s="1"/>
  <c r="E193" i="79"/>
  <c r="E43" i="75"/>
  <c r="H75" i="76"/>
  <c r="E42" i="77"/>
  <c r="H73" i="75"/>
  <c r="F7" i="20" l="1"/>
  <c r="E47" i="20"/>
  <c r="F47" i="20" s="1"/>
  <c r="H75" i="66"/>
  <c r="H76" i="66" s="1"/>
  <c r="F193" i="79"/>
  <c r="E50" i="75"/>
  <c r="E48" i="75"/>
  <c r="E46" i="75"/>
  <c r="E49" i="75"/>
  <c r="E45" i="75"/>
  <c r="E47" i="75"/>
  <c r="H78" i="75"/>
  <c r="E43" i="77"/>
  <c r="E49" i="76"/>
  <c r="E50" i="76"/>
  <c r="E48" i="76"/>
  <c r="E46" i="76"/>
  <c r="E45" i="76"/>
  <c r="E47" i="76"/>
  <c r="E52" i="75" l="1"/>
  <c r="G193" i="79"/>
  <c r="E55" i="75"/>
  <c r="E54" i="75"/>
  <c r="E52" i="76"/>
  <c r="E50" i="77"/>
  <c r="E49" i="77"/>
  <c r="E47" i="77"/>
  <c r="E45" i="77"/>
  <c r="E48" i="77"/>
  <c r="E46" i="77"/>
  <c r="E57" i="75" l="1"/>
  <c r="H193" i="79"/>
  <c r="E65" i="75"/>
  <c r="E63" i="75"/>
  <c r="E61" i="75"/>
  <c r="E59" i="75"/>
  <c r="E64" i="75"/>
  <c r="E60" i="75"/>
  <c r="E62" i="75"/>
  <c r="E55" i="76"/>
  <c r="E57" i="76" s="1"/>
  <c r="E54" i="76"/>
  <c r="E52" i="77"/>
  <c r="E67" i="75" l="1"/>
  <c r="H75" i="75" s="1"/>
  <c r="E64" i="76"/>
  <c r="E62" i="76"/>
  <c r="E60" i="76"/>
  <c r="E65" i="76"/>
  <c r="E63" i="76"/>
  <c r="E61" i="76"/>
  <c r="E59" i="76"/>
  <c r="E67" i="76" s="1"/>
  <c r="H72" i="76" s="1"/>
  <c r="G69" i="75"/>
  <c r="E55" i="77"/>
  <c r="E54" i="77"/>
  <c r="E57" i="77" s="1"/>
  <c r="E65" i="77" l="1"/>
  <c r="E63" i="77"/>
  <c r="E61" i="77"/>
  <c r="E59" i="77"/>
  <c r="E64" i="77"/>
  <c r="E62" i="77"/>
  <c r="E60" i="77"/>
  <c r="H77" i="76"/>
  <c r="H78" i="76" s="1"/>
  <c r="H73" i="76"/>
  <c r="H80" i="75"/>
  <c r="H81" i="75" s="1"/>
  <c r="H76" i="75"/>
  <c r="E67" i="77" l="1"/>
  <c r="G69" i="77" s="1"/>
  <c r="F8" i="20"/>
  <c r="F9" i="20"/>
  <c r="F15" i="20"/>
  <c r="D22" i="13"/>
  <c r="D22" i="62" s="1"/>
  <c r="D22" i="63" s="1"/>
  <c r="D22" i="61" s="1"/>
  <c r="D3" i="68"/>
  <c r="D2" i="68"/>
  <c r="F21" i="20" l="1"/>
  <c r="F77" i="1" l="1"/>
  <c r="E77" i="1"/>
  <c r="D22" i="1" s="1"/>
  <c r="D26" i="13" s="1"/>
  <c r="D26" i="62" s="1"/>
  <c r="D26" i="63" s="1"/>
  <c r="D26" i="61" s="1"/>
  <c r="G77" i="1"/>
  <c r="C22" i="1" l="1"/>
  <c r="I77" i="1"/>
  <c r="H77" i="1"/>
  <c r="C26" i="13"/>
  <c r="E26" i="13" s="1"/>
  <c r="F13" i="20"/>
  <c r="F12" i="20"/>
  <c r="F11" i="20"/>
  <c r="F10" i="20" l="1"/>
  <c r="D21" i="13" l="1"/>
  <c r="E13" i="3"/>
  <c r="E46" i="20"/>
  <c r="E57" i="66"/>
  <c r="D57" i="66"/>
  <c r="C57" i="66"/>
  <c r="F56" i="66"/>
  <c r="H56" i="66" s="1"/>
  <c r="F55" i="66"/>
  <c r="H55" i="66" s="1"/>
  <c r="F54" i="66"/>
  <c r="H54" i="66" s="1"/>
  <c r="F53" i="66"/>
  <c r="H53" i="66" s="1"/>
  <c r="F52" i="66"/>
  <c r="H52" i="66" s="1"/>
  <c r="F51" i="66"/>
  <c r="H51" i="66" s="1"/>
  <c r="F50" i="66"/>
  <c r="O18" i="3"/>
  <c r="O17" i="3"/>
  <c r="O16" i="3"/>
  <c r="O15" i="3"/>
  <c r="O14" i="3"/>
  <c r="O12" i="3"/>
  <c r="O11" i="3"/>
  <c r="O6" i="3"/>
  <c r="J13" i="3"/>
  <c r="F22" i="20" l="1"/>
  <c r="F57" i="66"/>
  <c r="I56" i="66"/>
  <c r="I52" i="66"/>
  <c r="I55" i="66"/>
  <c r="I51" i="66"/>
  <c r="I54" i="66"/>
  <c r="I50" i="66"/>
  <c r="I53" i="66"/>
  <c r="C23" i="13"/>
  <c r="C16" i="1"/>
  <c r="C22" i="13" s="1"/>
  <c r="E22" i="13" s="1"/>
  <c r="H50" i="66"/>
  <c r="H57" i="66" l="1"/>
  <c r="I57" i="66"/>
  <c r="E16" i="1"/>
  <c r="G36" i="66" l="1"/>
  <c r="G35" i="66"/>
  <c r="G34" i="66"/>
  <c r="G33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15" i="66"/>
  <c r="G14" i="66"/>
  <c r="E46" i="66"/>
  <c r="D46" i="66"/>
  <c r="C46" i="66"/>
  <c r="F45" i="66"/>
  <c r="H45" i="66" s="1"/>
  <c r="F44" i="66"/>
  <c r="H44" i="66" s="1"/>
  <c r="F43" i="66"/>
  <c r="H43" i="66" s="1"/>
  <c r="F42" i="66"/>
  <c r="H42" i="66" s="1"/>
  <c r="F41" i="66"/>
  <c r="H41" i="66" s="1"/>
  <c r="F40" i="66"/>
  <c r="H40" i="66" s="1"/>
  <c r="F39" i="66"/>
  <c r="F46" i="66" l="1"/>
  <c r="H46" i="66" s="1"/>
  <c r="E57" i="20"/>
  <c r="H39" i="66"/>
  <c r="F20" i="20" l="1"/>
  <c r="F46" i="20"/>
  <c r="E65" i="20"/>
  <c r="E58" i="20"/>
  <c r="E27" i="20"/>
  <c r="E35" i="20" s="1"/>
  <c r="E56" i="20" l="1"/>
  <c r="D96" i="66" l="1"/>
  <c r="D95" i="66"/>
  <c r="D91" i="66"/>
  <c r="D90" i="66"/>
  <c r="R62" i="66"/>
  <c r="D97" i="66" s="1"/>
  <c r="Q62" i="66"/>
  <c r="V31" i="66"/>
  <c r="D94" i="66" l="1"/>
  <c r="D92" i="66"/>
  <c r="C19" i="13"/>
  <c r="C16" i="13"/>
  <c r="E48" i="20" l="1"/>
  <c r="C11" i="1" s="1"/>
  <c r="C18" i="62" l="1"/>
  <c r="C18" i="61"/>
  <c r="C18" i="63"/>
  <c r="C18" i="13"/>
  <c r="D21" i="62"/>
  <c r="D21" i="63" s="1"/>
  <c r="D21" i="61" s="1"/>
  <c r="I27" i="48" l="1"/>
  <c r="I26" i="48"/>
  <c r="I25" i="48"/>
  <c r="I24" i="48"/>
  <c r="I23" i="48"/>
  <c r="E27" i="48"/>
  <c r="E26" i="48"/>
  <c r="E25" i="48"/>
  <c r="E24" i="48"/>
  <c r="E23" i="48"/>
  <c r="C16" i="62" l="1"/>
  <c r="C16" i="63" s="1"/>
  <c r="C16" i="61" s="1"/>
  <c r="C17" i="13"/>
  <c r="C17" i="62" s="1"/>
  <c r="C17" i="63" s="1"/>
  <c r="C17" i="61" s="1"/>
  <c r="C20" i="62"/>
  <c r="C25" i="62"/>
  <c r="Q31" i="61" l="1"/>
  <c r="B31" i="61"/>
  <c r="Q30" i="61"/>
  <c r="Q29" i="61"/>
  <c r="B29" i="61"/>
  <c r="Q28" i="61"/>
  <c r="B28" i="61"/>
  <c r="Q27" i="61"/>
  <c r="H27" i="81" s="1"/>
  <c r="B27" i="61"/>
  <c r="B26" i="61"/>
  <c r="H17" i="61"/>
  <c r="B17" i="61"/>
  <c r="E16" i="61"/>
  <c r="D16" i="61"/>
  <c r="B15" i="61"/>
  <c r="B14" i="61"/>
  <c r="B13" i="61"/>
  <c r="B12" i="61"/>
  <c r="Q31" i="63"/>
  <c r="B31" i="63"/>
  <c r="Q30" i="63"/>
  <c r="Q29" i="63"/>
  <c r="B29" i="63"/>
  <c r="Q28" i="63"/>
  <c r="B28" i="63"/>
  <c r="Q27" i="63"/>
  <c r="G27" i="81" s="1"/>
  <c r="B27" i="63"/>
  <c r="B26" i="63"/>
  <c r="H17" i="63"/>
  <c r="B17" i="63"/>
  <c r="E16" i="63"/>
  <c r="H16" i="63" s="1"/>
  <c r="D16" i="63"/>
  <c r="B15" i="63"/>
  <c r="B14" i="63"/>
  <c r="B13" i="63"/>
  <c r="B12" i="63"/>
  <c r="Q31" i="62"/>
  <c r="Q30" i="62"/>
  <c r="Q29" i="62"/>
  <c r="Q28" i="62"/>
  <c r="Q27" i="62"/>
  <c r="F27" i="81" s="1"/>
  <c r="Q31" i="13"/>
  <c r="Q30" i="13"/>
  <c r="G26" i="48" s="1"/>
  <c r="Q29" i="13"/>
  <c r="G25" i="48" s="1"/>
  <c r="Q28" i="13"/>
  <c r="Q27" i="13"/>
  <c r="E27" i="81" s="1"/>
  <c r="D27" i="81" s="1"/>
  <c r="B31" i="62"/>
  <c r="B29" i="62"/>
  <c r="B28" i="62"/>
  <c r="B27" i="62"/>
  <c r="B26" i="62"/>
  <c r="H17" i="62"/>
  <c r="B17" i="62"/>
  <c r="E16" i="62"/>
  <c r="D16" i="62"/>
  <c r="B15" i="62"/>
  <c r="B14" i="62"/>
  <c r="B13" i="62"/>
  <c r="B12" i="62"/>
  <c r="D16" i="13"/>
  <c r="G23" i="48" l="1"/>
  <c r="G27" i="48"/>
  <c r="G24" i="48"/>
  <c r="H19" i="61"/>
  <c r="H16" i="61"/>
  <c r="H16" i="62"/>
  <c r="H19" i="62" l="1"/>
  <c r="H19" i="63"/>
  <c r="D4" i="52" l="1"/>
  <c r="E4" i="52" s="1"/>
  <c r="F4" i="52" s="1"/>
  <c r="G4" i="52" s="1"/>
  <c r="H4" i="52" s="1"/>
  <c r="D62" i="20"/>
  <c r="D57" i="20"/>
  <c r="D48" i="20"/>
  <c r="D11" i="1" s="1"/>
  <c r="D65" i="20"/>
  <c r="D8" i="3" s="1"/>
  <c r="D64" i="20"/>
  <c r="F8" i="3" s="1"/>
  <c r="D42" i="20"/>
  <c r="H19" i="3" s="1"/>
  <c r="O19" i="3" s="1"/>
  <c r="D58" i="20"/>
  <c r="H9" i="3" s="1"/>
  <c r="D63" i="20"/>
  <c r="D55" i="20"/>
  <c r="D61" i="20"/>
  <c r="E7" i="3" s="1"/>
  <c r="O7" i="3" s="1"/>
  <c r="D38" i="20"/>
  <c r="E40" i="20"/>
  <c r="E62" i="20"/>
  <c r="C5" i="1" s="1"/>
  <c r="C12" i="13" s="1"/>
  <c r="V55" i="20"/>
  <c r="V43" i="20"/>
  <c r="B48" i="20"/>
  <c r="B15" i="1"/>
  <c r="H17" i="13"/>
  <c r="B12" i="13"/>
  <c r="B13" i="13"/>
  <c r="B14" i="13"/>
  <c r="B15" i="13"/>
  <c r="E16" i="13"/>
  <c r="B17" i="13"/>
  <c r="B26" i="13"/>
  <c r="B27" i="13"/>
  <c r="B28" i="13"/>
  <c r="B29" i="13"/>
  <c r="B31" i="13"/>
  <c r="O5" i="3"/>
  <c r="B6" i="3"/>
  <c r="B7" i="3"/>
  <c r="B8" i="3"/>
  <c r="B9" i="3"/>
  <c r="B10" i="3"/>
  <c r="B13" i="3"/>
  <c r="B15" i="3"/>
  <c r="B16" i="3"/>
  <c r="B17" i="3"/>
  <c r="B18" i="3"/>
  <c r="B19" i="3"/>
  <c r="B21" i="3"/>
  <c r="O21" i="3"/>
  <c r="D23" i="48"/>
  <c r="D24" i="48"/>
  <c r="D25" i="48"/>
  <c r="B38" i="20"/>
  <c r="B40" i="20"/>
  <c r="B54" i="20"/>
  <c r="B55" i="20"/>
  <c r="B58" i="20"/>
  <c r="B61" i="20"/>
  <c r="B63" i="20"/>
  <c r="B64" i="20"/>
  <c r="B65" i="20"/>
  <c r="E64" i="20"/>
  <c r="D18" i="62" l="1"/>
  <c r="D18" i="61"/>
  <c r="D18" i="63"/>
  <c r="D18" i="13"/>
  <c r="C12" i="62"/>
  <c r="C23" i="62"/>
  <c r="C23" i="63" s="1"/>
  <c r="C26" i="62"/>
  <c r="E26" i="62" s="1"/>
  <c r="A21" i="63"/>
  <c r="A21" i="61"/>
  <c r="A21" i="62"/>
  <c r="A21" i="13"/>
  <c r="F19" i="20"/>
  <c r="F58" i="20"/>
  <c r="F16" i="20"/>
  <c r="F17" i="20"/>
  <c r="F65" i="20"/>
  <c r="D18" i="1"/>
  <c r="D24" i="13" s="1"/>
  <c r="D24" i="62" s="1"/>
  <c r="D24" i="63" s="1"/>
  <c r="D24" i="61" s="1"/>
  <c r="E42" i="20"/>
  <c r="F42" i="20" s="1"/>
  <c r="D6" i="1"/>
  <c r="D5" i="1"/>
  <c r="F64" i="20"/>
  <c r="C6" i="1"/>
  <c r="C13" i="13" s="1"/>
  <c r="C13" i="62" s="1"/>
  <c r="C13" i="63" s="1"/>
  <c r="C13" i="61" s="1"/>
  <c r="D13" i="3"/>
  <c r="O13" i="3" s="1"/>
  <c r="F48" i="20"/>
  <c r="D7" i="1"/>
  <c r="G9" i="3"/>
  <c r="O9" i="3" s="1"/>
  <c r="F62" i="20"/>
  <c r="F18" i="20"/>
  <c r="G8" i="3"/>
  <c r="O8" i="3" s="1"/>
  <c r="H16" i="13"/>
  <c r="D40" i="20"/>
  <c r="F40" i="20" s="1"/>
  <c r="D12" i="61" l="1"/>
  <c r="D12" i="63"/>
  <c r="D12" i="62"/>
  <c r="D12" i="13"/>
  <c r="E12" i="13" s="1"/>
  <c r="E18" i="61"/>
  <c r="C26" i="63"/>
  <c r="E26" i="63" s="1"/>
  <c r="C23" i="61"/>
  <c r="F16" i="13"/>
  <c r="I17" i="13"/>
  <c r="E22" i="1"/>
  <c r="I16" i="13"/>
  <c r="D13" i="61"/>
  <c r="E13" i="61" s="1"/>
  <c r="F13" i="61" s="1"/>
  <c r="D13" i="62"/>
  <c r="D13" i="63"/>
  <c r="D13" i="13"/>
  <c r="D14" i="62"/>
  <c r="D14" i="63"/>
  <c r="D14" i="61"/>
  <c r="D14" i="13"/>
  <c r="C25" i="48"/>
  <c r="G16" i="13"/>
  <c r="I17" i="61"/>
  <c r="I16" i="61"/>
  <c r="I19" i="61"/>
  <c r="F17" i="62"/>
  <c r="F19" i="62"/>
  <c r="F16" i="62"/>
  <c r="I17" i="63"/>
  <c r="I19" i="63"/>
  <c r="I16" i="63"/>
  <c r="G17" i="13"/>
  <c r="F17" i="13"/>
  <c r="F16" i="61"/>
  <c r="F17" i="61"/>
  <c r="F19" i="61"/>
  <c r="G17" i="63"/>
  <c r="G16" i="63"/>
  <c r="G19" i="63"/>
  <c r="G17" i="62"/>
  <c r="G19" i="62"/>
  <c r="G16" i="62"/>
  <c r="F19" i="63"/>
  <c r="F17" i="63"/>
  <c r="F16" i="63"/>
  <c r="G17" i="61"/>
  <c r="G16" i="61"/>
  <c r="G19" i="61"/>
  <c r="I17" i="62"/>
  <c r="I19" i="62"/>
  <c r="I16" i="62"/>
  <c r="E6" i="1"/>
  <c r="F63" i="20"/>
  <c r="E11" i="1"/>
  <c r="C18" i="1"/>
  <c r="F57" i="20"/>
  <c r="F23" i="20"/>
  <c r="F27" i="20" s="1"/>
  <c r="F61" i="20"/>
  <c r="D23" i="13"/>
  <c r="K16" i="13" l="1"/>
  <c r="C12" i="48" s="1"/>
  <c r="K17" i="63"/>
  <c r="G13" i="48" s="1"/>
  <c r="K17" i="13"/>
  <c r="C13" i="48" s="1"/>
  <c r="K17" i="62"/>
  <c r="E13" i="48" s="1"/>
  <c r="K16" i="61"/>
  <c r="I12" i="48" s="1"/>
  <c r="K16" i="63"/>
  <c r="G12" i="48" s="1"/>
  <c r="K17" i="61"/>
  <c r="I13" i="48" s="1"/>
  <c r="K16" i="62"/>
  <c r="E12" i="48" s="1"/>
  <c r="F35" i="20"/>
  <c r="E18" i="63"/>
  <c r="F18" i="63" s="1"/>
  <c r="H18" i="61"/>
  <c r="G18" i="61"/>
  <c r="I18" i="61"/>
  <c r="F18" i="61"/>
  <c r="C26" i="61"/>
  <c r="E26" i="61" s="1"/>
  <c r="F26" i="61" s="1"/>
  <c r="D23" i="62"/>
  <c r="E23" i="13"/>
  <c r="C24" i="13"/>
  <c r="E24" i="13" s="1"/>
  <c r="H24" i="13" s="1"/>
  <c r="C22" i="62"/>
  <c r="F55" i="20"/>
  <c r="E18" i="62"/>
  <c r="H18" i="62" s="1"/>
  <c r="K28" i="63"/>
  <c r="K29" i="63"/>
  <c r="E13" i="63"/>
  <c r="H13" i="63" s="1"/>
  <c r="C23" i="48"/>
  <c r="E18" i="13"/>
  <c r="I18" i="13" s="1"/>
  <c r="K30" i="61"/>
  <c r="K27" i="63"/>
  <c r="C26" i="48"/>
  <c r="E13" i="62"/>
  <c r="E13" i="13"/>
  <c r="G13" i="13" s="1"/>
  <c r="E18" i="1"/>
  <c r="C24" i="48"/>
  <c r="K19" i="61"/>
  <c r="K27" i="61"/>
  <c r="K19" i="63"/>
  <c r="K31" i="61"/>
  <c r="C37" i="48"/>
  <c r="K19" i="62"/>
  <c r="K28" i="61"/>
  <c r="K30" i="63"/>
  <c r="K31" i="63"/>
  <c r="K29" i="61"/>
  <c r="C27" i="48"/>
  <c r="E5" i="1"/>
  <c r="C8" i="1"/>
  <c r="C15" i="13" s="1"/>
  <c r="C15" i="62" s="1"/>
  <c r="C15" i="63" s="1"/>
  <c r="C15" i="61" s="1"/>
  <c r="C7" i="1"/>
  <c r="E17" i="1"/>
  <c r="H18" i="63" l="1"/>
  <c r="K18" i="61"/>
  <c r="E12" i="62"/>
  <c r="G12" i="62" s="1"/>
  <c r="D23" i="63"/>
  <c r="E23" i="62"/>
  <c r="H23" i="62" s="1"/>
  <c r="C22" i="63"/>
  <c r="E22" i="62"/>
  <c r="H22" i="62" s="1"/>
  <c r="C24" i="62"/>
  <c r="H12" i="13"/>
  <c r="C14" i="13"/>
  <c r="C39" i="48"/>
  <c r="C38" i="48"/>
  <c r="C36" i="48"/>
  <c r="E15" i="48"/>
  <c r="I15" i="48"/>
  <c r="G15" i="48"/>
  <c r="F18" i="62"/>
  <c r="H26" i="61"/>
  <c r="I26" i="61"/>
  <c r="G26" i="61"/>
  <c r="H26" i="63"/>
  <c r="F26" i="63"/>
  <c r="G26" i="63"/>
  <c r="I26" i="63"/>
  <c r="H26" i="62"/>
  <c r="I26" i="62"/>
  <c r="F26" i="62"/>
  <c r="G26" i="62"/>
  <c r="G18" i="62"/>
  <c r="I26" i="13"/>
  <c r="H26" i="13"/>
  <c r="G26" i="13"/>
  <c r="F26" i="13"/>
  <c r="I18" i="62"/>
  <c r="G18" i="63"/>
  <c r="F13" i="63"/>
  <c r="I18" i="63"/>
  <c r="G13" i="63"/>
  <c r="I13" i="63"/>
  <c r="F13" i="13"/>
  <c r="I13" i="13"/>
  <c r="H13" i="13"/>
  <c r="C34" i="48"/>
  <c r="H13" i="62"/>
  <c r="F13" i="62"/>
  <c r="G13" i="62"/>
  <c r="I13" i="62"/>
  <c r="E7" i="1"/>
  <c r="H13" i="61"/>
  <c r="I13" i="61"/>
  <c r="G13" i="61"/>
  <c r="C35" i="48"/>
  <c r="H18" i="13"/>
  <c r="I24" i="13"/>
  <c r="C15" i="48"/>
  <c r="F24" i="13"/>
  <c r="I23" i="13"/>
  <c r="F22" i="13"/>
  <c r="H22" i="13"/>
  <c r="G22" i="13"/>
  <c r="I22" i="13"/>
  <c r="G24" i="13"/>
  <c r="F18" i="13"/>
  <c r="G18" i="13"/>
  <c r="C14" i="62" l="1"/>
  <c r="K18" i="63"/>
  <c r="K26" i="63"/>
  <c r="C12" i="63"/>
  <c r="I23" i="62"/>
  <c r="F23" i="62"/>
  <c r="G23" i="62"/>
  <c r="C24" i="63"/>
  <c r="E24" i="62"/>
  <c r="D23" i="61"/>
  <c r="E23" i="61" s="1"/>
  <c r="E23" i="63"/>
  <c r="F12" i="62"/>
  <c r="I12" i="62"/>
  <c r="G12" i="13"/>
  <c r="C22" i="61"/>
  <c r="E22" i="61" s="1"/>
  <c r="E22" i="63"/>
  <c r="H12" i="62"/>
  <c r="I12" i="13"/>
  <c r="F12" i="13"/>
  <c r="F22" i="62"/>
  <c r="G22" i="62"/>
  <c r="I22" i="62"/>
  <c r="E14" i="13"/>
  <c r="H14" i="13" s="1"/>
  <c r="E14" i="62"/>
  <c r="I14" i="62" s="1"/>
  <c r="K18" i="62"/>
  <c r="K26" i="61"/>
  <c r="K26" i="13"/>
  <c r="K26" i="62"/>
  <c r="K13" i="13"/>
  <c r="C9" i="48" s="1"/>
  <c r="K13" i="63"/>
  <c r="K13" i="61"/>
  <c r="K13" i="62"/>
  <c r="K18" i="13"/>
  <c r="K24" i="13"/>
  <c r="C20" i="48" s="1"/>
  <c r="K22" i="13"/>
  <c r="C18" i="48" s="1"/>
  <c r="D15" i="48"/>
  <c r="F23" i="13"/>
  <c r="H23" i="13"/>
  <c r="G23" i="13"/>
  <c r="C14" i="63" l="1"/>
  <c r="C12" i="61"/>
  <c r="E12" i="63"/>
  <c r="K23" i="62"/>
  <c r="E19" i="48" s="1"/>
  <c r="K12" i="13"/>
  <c r="C8" i="48" s="1"/>
  <c r="H23" i="63"/>
  <c r="G23" i="63"/>
  <c r="I23" i="63"/>
  <c r="F23" i="63"/>
  <c r="H23" i="61"/>
  <c r="F23" i="61"/>
  <c r="G23" i="61"/>
  <c r="I23" i="61"/>
  <c r="F24" i="62"/>
  <c r="H24" i="62"/>
  <c r="G24" i="62"/>
  <c r="I24" i="62"/>
  <c r="K12" i="62"/>
  <c r="C24" i="61"/>
  <c r="E24" i="61" s="1"/>
  <c r="E24" i="63"/>
  <c r="H22" i="63"/>
  <c r="I22" i="63"/>
  <c r="G22" i="63"/>
  <c r="F22" i="63"/>
  <c r="F22" i="61"/>
  <c r="I22" i="61"/>
  <c r="G22" i="61"/>
  <c r="H22" i="61"/>
  <c r="K22" i="62"/>
  <c r="E18" i="48" s="1"/>
  <c r="H14" i="62"/>
  <c r="F14" i="62"/>
  <c r="G14" i="62"/>
  <c r="G14" i="13"/>
  <c r="F14" i="13"/>
  <c r="I14" i="13"/>
  <c r="I22" i="48"/>
  <c r="G22" i="48"/>
  <c r="E22" i="48"/>
  <c r="I9" i="48"/>
  <c r="I14" i="48"/>
  <c r="G14" i="48"/>
  <c r="E14" i="48"/>
  <c r="C14" i="48"/>
  <c r="G9" i="48"/>
  <c r="E9" i="48"/>
  <c r="C22" i="48"/>
  <c r="K23" i="13"/>
  <c r="C19" i="48" s="1"/>
  <c r="C14" i="61" l="1"/>
  <c r="E14" i="61" s="1"/>
  <c r="E14" i="63"/>
  <c r="H12" i="63"/>
  <c r="F12" i="63"/>
  <c r="I12" i="63"/>
  <c r="G12" i="63"/>
  <c r="E12" i="61"/>
  <c r="E8" i="48"/>
  <c r="F24" i="63"/>
  <c r="I24" i="63"/>
  <c r="G24" i="63"/>
  <c r="H24" i="63"/>
  <c r="K24" i="62"/>
  <c r="K23" i="61"/>
  <c r="K22" i="61"/>
  <c r="K22" i="63"/>
  <c r="F24" i="61"/>
  <c r="I24" i="61"/>
  <c r="H24" i="61"/>
  <c r="G24" i="61"/>
  <c r="K23" i="63"/>
  <c r="K14" i="62"/>
  <c r="K14" i="13"/>
  <c r="C10" i="48" s="1"/>
  <c r="G14" i="63" l="1"/>
  <c r="H14" i="63"/>
  <c r="F14" i="63"/>
  <c r="I14" i="63"/>
  <c r="F14" i="61"/>
  <c r="H14" i="61"/>
  <c r="G14" i="61"/>
  <c r="I14" i="61"/>
  <c r="K12" i="63"/>
  <c r="G12" i="61"/>
  <c r="I12" i="61"/>
  <c r="H12" i="61"/>
  <c r="F12" i="61"/>
  <c r="G18" i="48"/>
  <c r="K24" i="63"/>
  <c r="K24" i="61"/>
  <c r="I18" i="48"/>
  <c r="I19" i="48"/>
  <c r="G19" i="48"/>
  <c r="E20" i="48"/>
  <c r="E10" i="48"/>
  <c r="K14" i="61" l="1"/>
  <c r="I10" i="48" s="1"/>
  <c r="K14" i="63"/>
  <c r="G10" i="48" s="1"/>
  <c r="K12" i="61"/>
  <c r="G8" i="48"/>
  <c r="G20" i="48"/>
  <c r="I20" i="48"/>
  <c r="I8" i="48" l="1"/>
  <c r="D54" i="20" l="1"/>
  <c r="F54" i="20" s="1"/>
  <c r="D8" i="1" l="1"/>
  <c r="D20" i="1" s="1"/>
  <c r="E10" i="3"/>
  <c r="O10" i="3" s="1"/>
  <c r="P15" i="3" s="1"/>
  <c r="D15" i="13" l="1"/>
  <c r="E15" i="13" s="1"/>
  <c r="H15" i="13" s="1"/>
  <c r="D15" i="62"/>
  <c r="D33" i="62" s="1"/>
  <c r="D15" i="61"/>
  <c r="E15" i="61" s="1"/>
  <c r="F15" i="61" s="1"/>
  <c r="D15" i="63"/>
  <c r="E15" i="63" s="1"/>
  <c r="G15" i="63" s="1"/>
  <c r="E8" i="1"/>
  <c r="E15" i="62"/>
  <c r="G15" i="62" s="1"/>
  <c r="I15" i="13"/>
  <c r="H15" i="61" l="1"/>
  <c r="F15" i="13"/>
  <c r="G15" i="13"/>
  <c r="I15" i="61"/>
  <c r="G15" i="61"/>
  <c r="F15" i="63"/>
  <c r="H15" i="63"/>
  <c r="I15" i="63"/>
  <c r="H15" i="62"/>
  <c r="I15" i="62"/>
  <c r="F15" i="62"/>
  <c r="K15" i="13" l="1"/>
  <c r="C11" i="48" s="1"/>
  <c r="K15" i="61"/>
  <c r="I11" i="48" s="1"/>
  <c r="K15" i="63"/>
  <c r="G11" i="48" s="1"/>
  <c r="K15" i="62"/>
  <c r="E11" i="48" s="1"/>
  <c r="E38" i="20" l="1"/>
  <c r="F38" i="20" s="1"/>
  <c r="C15" i="1" l="1"/>
  <c r="C20" i="1" s="1"/>
  <c r="C28" i="1" s="1"/>
  <c r="E66" i="20"/>
  <c r="E78" i="20" s="1"/>
  <c r="C21" i="13" l="1"/>
  <c r="C33" i="13" s="1"/>
  <c r="E15" i="1"/>
  <c r="E20" i="1" s="1"/>
  <c r="C21" i="62" l="1"/>
  <c r="C33" i="62" s="1"/>
  <c r="E21" i="13"/>
  <c r="E21" i="62" l="1"/>
  <c r="C21" i="63"/>
  <c r="C34" i="63" s="1"/>
  <c r="G21" i="13"/>
  <c r="F21" i="13"/>
  <c r="H21" i="13"/>
  <c r="I21" i="13"/>
  <c r="G12" i="68" l="1"/>
  <c r="G10" i="68"/>
  <c r="G11" i="68"/>
  <c r="F13" i="68"/>
  <c r="I21" i="62"/>
  <c r="F21" i="62"/>
  <c r="G21" i="62"/>
  <c r="H21" i="62"/>
  <c r="K21" i="13"/>
  <c r="E21" i="63"/>
  <c r="C21" i="61"/>
  <c r="C33" i="61" s="1"/>
  <c r="F15" i="68" l="1"/>
  <c r="F18" i="68" s="1"/>
  <c r="E19" i="68"/>
  <c r="E21" i="61"/>
  <c r="I21" i="61" s="1"/>
  <c r="C17" i="48"/>
  <c r="K21" i="62"/>
  <c r="G21" i="63"/>
  <c r="F21" i="63"/>
  <c r="I21" i="63"/>
  <c r="H21" i="63"/>
  <c r="E20" i="68" l="1"/>
  <c r="E22" i="68" s="1"/>
  <c r="E26" i="68" s="1"/>
  <c r="H13" i="68"/>
  <c r="H12" i="68"/>
  <c r="H11" i="68"/>
  <c r="H10" i="68"/>
  <c r="H15" i="68" s="1"/>
  <c r="G13" i="68"/>
  <c r="G15" i="68" s="1"/>
  <c r="G18" i="68" s="1"/>
  <c r="H21" i="61"/>
  <c r="G21" i="61"/>
  <c r="F21" i="61"/>
  <c r="K21" i="63"/>
  <c r="E17" i="48"/>
  <c r="G19" i="68" l="1"/>
  <c r="G20" i="68" s="1"/>
  <c r="F19" i="68"/>
  <c r="K21" i="61"/>
  <c r="I17" i="48" s="1"/>
  <c r="G17" i="48"/>
  <c r="F20" i="68" l="1"/>
  <c r="F22" i="68" s="1"/>
  <c r="F26" i="68" s="1"/>
  <c r="G22" i="68"/>
  <c r="G26" i="68" s="1"/>
  <c r="Q5" i="13"/>
  <c r="H26" i="68" l="1"/>
  <c r="C27" i="68" s="1"/>
  <c r="H22" i="68"/>
  <c r="C53" i="81" l="1"/>
  <c r="C6" i="81" l="1"/>
  <c r="L10" i="13" l="1"/>
  <c r="M32" i="13" s="1"/>
  <c r="Q32" i="13" l="1"/>
  <c r="D29" i="48"/>
  <c r="M17" i="13"/>
  <c r="D13" i="48" s="1"/>
  <c r="M16" i="13"/>
  <c r="M12" i="13"/>
  <c r="L10" i="62"/>
  <c r="M32" i="62" s="1"/>
  <c r="M24" i="13"/>
  <c r="M18" i="13"/>
  <c r="L10" i="63"/>
  <c r="M32" i="63" s="1"/>
  <c r="M21" i="13"/>
  <c r="M26" i="13"/>
  <c r="M23" i="13"/>
  <c r="L10" i="61"/>
  <c r="M32" i="61" s="1"/>
  <c r="M15" i="13"/>
  <c r="M22" i="13"/>
  <c r="M13" i="13"/>
  <c r="M14" i="13"/>
  <c r="Q32" i="62" l="1"/>
  <c r="F30" i="81" s="1"/>
  <c r="F29" i="48"/>
  <c r="Q32" i="61"/>
  <c r="H30" i="81" s="1"/>
  <c r="J29" i="48"/>
  <c r="Q32" i="63"/>
  <c r="G30" i="81" s="1"/>
  <c r="H29" i="48"/>
  <c r="G28" i="48"/>
  <c r="E30" i="81"/>
  <c r="D30" i="81" s="1"/>
  <c r="M16" i="62"/>
  <c r="M17" i="62"/>
  <c r="F13" i="48" s="1"/>
  <c r="M17" i="61"/>
  <c r="M16" i="61"/>
  <c r="Q16" i="13"/>
  <c r="E16" i="81" s="1"/>
  <c r="D12" i="48"/>
  <c r="M17" i="63"/>
  <c r="H13" i="48" s="1"/>
  <c r="M16" i="63"/>
  <c r="D9" i="48"/>
  <c r="Q13" i="13"/>
  <c r="E13" i="81" s="1"/>
  <c r="Q23" i="13"/>
  <c r="E23" i="81" s="1"/>
  <c r="D19" i="48"/>
  <c r="D14" i="48"/>
  <c r="Q18" i="13"/>
  <c r="E18" i="81" s="1"/>
  <c r="D18" i="48"/>
  <c r="Q22" i="13"/>
  <c r="E22" i="81" s="1"/>
  <c r="Q26" i="13"/>
  <c r="E26" i="81" s="1"/>
  <c r="D22" i="48"/>
  <c r="D20" i="48"/>
  <c r="Q24" i="13"/>
  <c r="E24" i="81" s="1"/>
  <c r="D11" i="48"/>
  <c r="Q15" i="13"/>
  <c r="E15" i="81" s="1"/>
  <c r="D17" i="48"/>
  <c r="Q21" i="13"/>
  <c r="E21" i="81" s="1"/>
  <c r="M13" i="62"/>
  <c r="M23" i="62"/>
  <c r="M14" i="62"/>
  <c r="M26" i="62"/>
  <c r="M19" i="62"/>
  <c r="M18" i="62"/>
  <c r="M15" i="62"/>
  <c r="M12" i="62"/>
  <c r="M24" i="62"/>
  <c r="M22" i="62"/>
  <c r="M21" i="62"/>
  <c r="Q14" i="13"/>
  <c r="E14" i="81" s="1"/>
  <c r="D10" i="48"/>
  <c r="M14" i="61"/>
  <c r="M12" i="61"/>
  <c r="M19" i="61"/>
  <c r="M24" i="61"/>
  <c r="M21" i="61"/>
  <c r="M15" i="61"/>
  <c r="M13" i="61"/>
  <c r="M26" i="61"/>
  <c r="M22" i="61"/>
  <c r="M18" i="61"/>
  <c r="M23" i="61"/>
  <c r="M18" i="63"/>
  <c r="M14" i="63"/>
  <c r="M21" i="63"/>
  <c r="M22" i="63"/>
  <c r="M13" i="63"/>
  <c r="M12" i="63"/>
  <c r="M23" i="63"/>
  <c r="M24" i="63"/>
  <c r="M15" i="63"/>
  <c r="M19" i="63"/>
  <c r="M26" i="63"/>
  <c r="Q12" i="13"/>
  <c r="D8" i="48"/>
  <c r="Q34" i="13" l="1"/>
  <c r="Q16" i="61"/>
  <c r="H16" i="81" s="1"/>
  <c r="J12" i="48"/>
  <c r="Q17" i="61"/>
  <c r="H17" i="81" s="1"/>
  <c r="D17" i="81" s="1"/>
  <c r="J13" i="48"/>
  <c r="Q16" i="63"/>
  <c r="G16" i="81" s="1"/>
  <c r="H12" i="48"/>
  <c r="Q16" i="62"/>
  <c r="F16" i="81" s="1"/>
  <c r="F12" i="48"/>
  <c r="Q24" i="63"/>
  <c r="G24" i="81" s="1"/>
  <c r="H20" i="48"/>
  <c r="H18" i="48"/>
  <c r="Q22" i="63"/>
  <c r="G22" i="81" s="1"/>
  <c r="J19" i="48"/>
  <c r="Q23" i="61"/>
  <c r="H23" i="81" s="1"/>
  <c r="J9" i="48"/>
  <c r="Q13" i="61"/>
  <c r="H13" i="81" s="1"/>
  <c r="Q19" i="61"/>
  <c r="H19" i="81" s="1"/>
  <c r="J15" i="48"/>
  <c r="Q12" i="62"/>
  <c r="F8" i="48"/>
  <c r="Q26" i="62"/>
  <c r="F26" i="81" s="1"/>
  <c r="F22" i="48"/>
  <c r="H22" i="48"/>
  <c r="Q26" i="63"/>
  <c r="Q23" i="63"/>
  <c r="G23" i="81" s="1"/>
  <c r="H19" i="48"/>
  <c r="Q21" i="63"/>
  <c r="G21" i="81" s="1"/>
  <c r="H17" i="48"/>
  <c r="J14" i="48"/>
  <c r="Q18" i="61"/>
  <c r="J11" i="48"/>
  <c r="Q15" i="61"/>
  <c r="H15" i="81" s="1"/>
  <c r="Q12" i="61"/>
  <c r="J8" i="48"/>
  <c r="F17" i="48"/>
  <c r="Q21" i="62"/>
  <c r="F21" i="81" s="1"/>
  <c r="Q15" i="62"/>
  <c r="F15" i="81" s="1"/>
  <c r="F11" i="48"/>
  <c r="F10" i="48"/>
  <c r="Q14" i="62"/>
  <c r="F14" i="81" s="1"/>
  <c r="E12" i="81"/>
  <c r="E32" i="81" s="1"/>
  <c r="E36" i="81" s="1"/>
  <c r="Q19" i="63"/>
  <c r="G19" i="81" s="1"/>
  <c r="H15" i="48"/>
  <c r="Q12" i="63"/>
  <c r="H8" i="48"/>
  <c r="H10" i="48"/>
  <c r="Q14" i="63"/>
  <c r="G14" i="81" s="1"/>
  <c r="J18" i="48"/>
  <c r="Q22" i="61"/>
  <c r="H22" i="81" s="1"/>
  <c r="J17" i="48"/>
  <c r="Q21" i="61"/>
  <c r="H21" i="81" s="1"/>
  <c r="Q14" i="61"/>
  <c r="H14" i="81" s="1"/>
  <c r="J10" i="48"/>
  <c r="F18" i="48"/>
  <c r="Q22" i="62"/>
  <c r="F22" i="81" s="1"/>
  <c r="Q18" i="62"/>
  <c r="F14" i="48"/>
  <c r="Q23" i="62"/>
  <c r="F23" i="81" s="1"/>
  <c r="F19" i="48"/>
  <c r="Q15" i="63"/>
  <c r="G15" i="81" s="1"/>
  <c r="H11" i="48"/>
  <c r="Q13" i="63"/>
  <c r="G13" i="81" s="1"/>
  <c r="H9" i="48"/>
  <c r="H14" i="48"/>
  <c r="Q18" i="63"/>
  <c r="J22" i="48"/>
  <c r="Q26" i="61"/>
  <c r="J20" i="48"/>
  <c r="Q24" i="61"/>
  <c r="H24" i="81" s="1"/>
  <c r="Q24" i="62"/>
  <c r="F24" i="81" s="1"/>
  <c r="F20" i="48"/>
  <c r="F15" i="48"/>
  <c r="Q19" i="62"/>
  <c r="F19" i="81" s="1"/>
  <c r="F9" i="48"/>
  <c r="Q13" i="62"/>
  <c r="F13" i="81" s="1"/>
  <c r="F18" i="81" l="1"/>
  <c r="Q34" i="62"/>
  <c r="H18" i="81"/>
  <c r="Q34" i="61"/>
  <c r="G18" i="81"/>
  <c r="Q34" i="63"/>
  <c r="D15" i="81"/>
  <c r="D16" i="81"/>
  <c r="D13" i="81"/>
  <c r="D19" i="81"/>
  <c r="D22" i="81"/>
  <c r="H12" i="81"/>
  <c r="Q38" i="61"/>
  <c r="H26" i="81"/>
  <c r="D14" i="81"/>
  <c r="D21" i="81"/>
  <c r="G26" i="81"/>
  <c r="Q36" i="63"/>
  <c r="G12" i="81"/>
  <c r="D24" i="81"/>
  <c r="D23" i="81"/>
  <c r="F12" i="81"/>
  <c r="Q37" i="62"/>
  <c r="F32" i="81" l="1"/>
  <c r="F36" i="81" s="1"/>
  <c r="D18" i="81"/>
  <c r="H32" i="81"/>
  <c r="H36" i="81" s="1"/>
  <c r="D26" i="81"/>
  <c r="Q38" i="63"/>
  <c r="Q39" i="61"/>
  <c r="D12" i="81"/>
  <c r="G32" i="81"/>
  <c r="G36" i="81" s="1"/>
  <c r="D32" i="81" l="1"/>
  <c r="D36" i="81"/>
  <c r="D39" i="81" l="1"/>
  <c r="D40" i="81" s="1"/>
  <c r="C52" i="81"/>
  <c r="C54" i="81" s="1"/>
  <c r="C55" i="8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</author>
  </authors>
  <commentList>
    <comment ref="D3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revisar fecha de entrada
</t>
        </r>
      </text>
    </comment>
    <comment ref="F3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revisar fecha de entrada</t>
        </r>
      </text>
    </comment>
    <comment ref="G30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según nota DGC-4-2022 _ Lo cambié a 11,571,000.00 según nota. </t>
        </r>
      </text>
    </comment>
    <comment ref="D31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revisar fecha de entrada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CarlosV</author>
  </authors>
  <commentList>
    <comment ref="B229" authorId="0" shapeId="0" xr:uid="{00000000-0006-0000-1000-000001000000}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0" authorId="0" shapeId="0" xr:uid="{00000000-0006-0000-1000-000002000000}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32" authorId="0" shapeId="0" xr:uid="{00000000-0006-0000-1000-000003000000}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3" authorId="0" shapeId="0" xr:uid="{00000000-0006-0000-1000-000004000000}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35" authorId="0" shapeId="0" xr:uid="{00000000-0006-0000-1000-000005000000}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6" authorId="0" shapeId="0" xr:uid="{00000000-0006-0000-1000-000006000000}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38" authorId="0" shapeId="0" xr:uid="{00000000-0006-0000-1000-000007000000}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9" authorId="0" shapeId="0" xr:uid="{00000000-0006-0000-1000-000008000000}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</commentList>
</comments>
</file>

<file path=xl/sharedStrings.xml><?xml version="1.0" encoding="utf-8"?>
<sst xmlns="http://schemas.openxmlformats.org/spreadsheetml/2006/main" count="2614" uniqueCount="887">
  <si>
    <t>EQUIPAMIENTO</t>
  </si>
  <si>
    <t>VNR TOTAL</t>
  </si>
  <si>
    <t>MVA</t>
  </si>
  <si>
    <t>Salidas de Conexión</t>
  </si>
  <si>
    <t>Transformadores</t>
  </si>
  <si>
    <t>CXTR Reductor 42/56/70 MVA</t>
  </si>
  <si>
    <t>CXTR Reductor 30/40/50 MVA</t>
  </si>
  <si>
    <t>CXTR Reductor 20/24 MVA</t>
  </si>
  <si>
    <t>Líneas</t>
  </si>
  <si>
    <t>Unidad</t>
  </si>
  <si>
    <t>km</t>
  </si>
  <si>
    <t xml:space="preserve"> </t>
  </si>
  <si>
    <t>TOTAL</t>
  </si>
  <si>
    <t>EMPRESA DE TRANSMISION ELECTRICA, S.A.</t>
  </si>
  <si>
    <t>CARGOS POR CONEXIÓN :  DATOS BASICOS</t>
  </si>
  <si>
    <t>PARAMETROS DE EFICIENCIA</t>
  </si>
  <si>
    <t>PARAMETRO</t>
  </si>
  <si>
    <t>UNIDAD</t>
  </si>
  <si>
    <t>OMT</t>
  </si>
  <si>
    <t>%</t>
  </si>
  <si>
    <t>ADMT</t>
  </si>
  <si>
    <t>RRT</t>
  </si>
  <si>
    <t>DEP</t>
  </si>
  <si>
    <t xml:space="preserve">CARGOS POR CONEXIÓN </t>
  </si>
  <si>
    <t>TIPO DE ACTIVO</t>
  </si>
  <si>
    <t>CX cxj, por equipamiento típico de conexión</t>
  </si>
  <si>
    <t>(1) Todas las líneas de 115 kV Circuito sencillo son de conductor 636 ACSR.</t>
  </si>
  <si>
    <t>(1)</t>
  </si>
  <si>
    <t>(2)</t>
  </si>
  <si>
    <t>(3)</t>
  </si>
  <si>
    <t>(5)</t>
  </si>
  <si>
    <t>Número de instalaciones</t>
  </si>
  <si>
    <t>DETALLE</t>
  </si>
  <si>
    <t>CHORRERA</t>
  </si>
  <si>
    <t>LLANO SANCHEZ</t>
  </si>
  <si>
    <t>MATA DE NANCE</t>
  </si>
  <si>
    <t>PROGRESO</t>
  </si>
  <si>
    <t xml:space="preserve">CHARCO AZUL </t>
  </si>
  <si>
    <t>TOTALES</t>
  </si>
  <si>
    <t>salida</t>
  </si>
  <si>
    <t>Caldera - La Estrella</t>
  </si>
  <si>
    <t>Caldera - Los Valles</t>
  </si>
  <si>
    <t>Caldera - Pja.Sombrero</t>
  </si>
  <si>
    <t>Progreso - Charco Azul</t>
  </si>
  <si>
    <t>VNR</t>
  </si>
  <si>
    <t>Costo Total</t>
  </si>
  <si>
    <t>Costo por Unidad</t>
  </si>
  <si>
    <t>Llano Sánchez 115</t>
  </si>
  <si>
    <t>Llano Sánchez  34.5</t>
  </si>
  <si>
    <t>Progreso 115</t>
  </si>
  <si>
    <t>Progreso 34.5</t>
  </si>
  <si>
    <t>Charco Azul 115</t>
  </si>
  <si>
    <t>Charco Azul Transformador</t>
  </si>
  <si>
    <t>Mata de Nance 34.5</t>
  </si>
  <si>
    <t>Chorrera 34.5</t>
  </si>
  <si>
    <t>Chorrera 230</t>
  </si>
  <si>
    <t>Para trasformadores</t>
  </si>
  <si>
    <t>Costo por MVA</t>
  </si>
  <si>
    <t>Para Patios de 230</t>
  </si>
  <si>
    <t>Salida</t>
  </si>
  <si>
    <t>Costo por Salida</t>
  </si>
  <si>
    <t>Esquema</t>
  </si>
  <si>
    <t>Para Patios de 115</t>
  </si>
  <si>
    <t>Barra Sencilla</t>
  </si>
  <si>
    <t xml:space="preserve">Barra Sencilla </t>
  </si>
  <si>
    <t>Para Patios de 34.5</t>
  </si>
  <si>
    <t>IP 1/2 con 5 IP</t>
  </si>
  <si>
    <t>Observación</t>
  </si>
  <si>
    <t>Miles B/./Salida</t>
  </si>
  <si>
    <t>Cada salida utiliza 1 IP</t>
  </si>
  <si>
    <t>Cantidad</t>
  </si>
  <si>
    <t>VNR UNITARIO PROMEDIO Miles B/.</t>
  </si>
  <si>
    <t>ACTIVOS INCORPORADOS PARCIALMENTE</t>
  </si>
  <si>
    <t>(Miles de Balboas)</t>
  </si>
  <si>
    <t>FA =</t>
  </si>
  <si>
    <t xml:space="preserve">VNR DE PATIOS DE CONEXIÓN, POR NIVEL DE VOLTAJE Y CAPACIDAD DE TRANSMFORMACIÓN </t>
  </si>
  <si>
    <t>RRTef cxj</t>
  </si>
  <si>
    <t>QUE SE INCORPORAN</t>
  </si>
  <si>
    <t>1) PARA INSTALACIONES QUE SE INCORPORAN</t>
  </si>
  <si>
    <t>2) PARA INSTALACIONES CONSIDERADAS EN LOS CÁLCULOS TARIFARIOS</t>
  </si>
  <si>
    <t>(Balboas)</t>
  </si>
  <si>
    <t>Transformador</t>
  </si>
  <si>
    <t>salidas</t>
  </si>
  <si>
    <t>EQUIPO</t>
  </si>
  <si>
    <t xml:space="preserve">TOTAL: VNR </t>
  </si>
  <si>
    <t>VNR UNITARIO PROMEDIO</t>
  </si>
  <si>
    <t>CXS34.5 Barra Sencilla</t>
  </si>
  <si>
    <t>CXS34.5 Interruptor y Medio</t>
  </si>
  <si>
    <t>CXS115 Barra Sencilla</t>
  </si>
  <si>
    <t>CXS115 Interruptor y Medio</t>
  </si>
  <si>
    <t>CXS230 Interruptor y Medio</t>
  </si>
  <si>
    <t>CXL 115 KV Circuito Sencillo</t>
  </si>
  <si>
    <t>CXL 115 KV Doble Circuito</t>
  </si>
  <si>
    <t>CXL 230 KV Circuito Sencillo 750 ACAR</t>
  </si>
  <si>
    <t>CARGOS POR CONEXIÓN</t>
  </si>
  <si>
    <t>EMPRESA DE TRANSMISIÓN ELÉCTRICA, S.A.</t>
  </si>
  <si>
    <t>CARGOS DE CONEXIÓN</t>
  </si>
  <si>
    <t>Miles B/./MVA</t>
  </si>
  <si>
    <t>CXS115 Interruptor y 1/2 con 1IP</t>
  </si>
  <si>
    <t>CXS230 Barras Sencillas</t>
  </si>
  <si>
    <t>CXL 230 KV Doble Circuito 750 ACAR</t>
  </si>
  <si>
    <t>CXL 230 KV Doble Circuito 1200 ACAR</t>
  </si>
  <si>
    <t>Changuinola 34.5</t>
  </si>
  <si>
    <t>Barra sencilla con 2 IP</t>
  </si>
  <si>
    <t>Changuinola</t>
  </si>
  <si>
    <t>CXTR Reductor 60/80/100 MVA</t>
  </si>
  <si>
    <t>Considera las incorporaciones parciales</t>
  </si>
  <si>
    <t>INCORPORACION PARCIAL</t>
  </si>
  <si>
    <t>Incorporaciones del periodo</t>
  </si>
  <si>
    <t>115 - 17</t>
  </si>
  <si>
    <t>115 - 18</t>
  </si>
  <si>
    <t>Caldera - Paja de Sombrero</t>
  </si>
  <si>
    <t>115 - 19</t>
  </si>
  <si>
    <t>115 - 25</t>
  </si>
  <si>
    <t>Lineas</t>
  </si>
  <si>
    <t>N° del Circuito</t>
  </si>
  <si>
    <t>Longitud (km)</t>
  </si>
  <si>
    <t>N° Total de Torres</t>
  </si>
  <si>
    <t>Costo por kM</t>
  </si>
  <si>
    <t>Miles B/.Salida</t>
  </si>
  <si>
    <t>1 IP - 230  KV</t>
  </si>
  <si>
    <t>2 IP - 230   KV</t>
  </si>
  <si>
    <t>1 IP - 115  KV</t>
  </si>
  <si>
    <t>2 IP - 115  KV</t>
  </si>
  <si>
    <t>1 IP - 34.5  KV</t>
  </si>
  <si>
    <t>2 IP - 34.5  KV</t>
  </si>
  <si>
    <t>PARA INSTALACIONES DE EXPANSIÓN CONDICIONADAS</t>
  </si>
  <si>
    <t>Salida de conexión, con esquema de interruptor y 1/2 (a)</t>
  </si>
  <si>
    <t>N/A</t>
  </si>
  <si>
    <t>VALOR NUEVO DE REPOSICIÓN TIPIFICADO (Ajustado de acuerdo a costos eficientes de ASEP.)</t>
  </si>
  <si>
    <t>CONSIDERADAS (1)</t>
  </si>
  <si>
    <r>
      <t>OMTCT</t>
    </r>
    <r>
      <rPr>
        <b/>
        <vertAlign val="subscript"/>
        <sz val="10"/>
        <color indexed="9"/>
        <rFont val="Arial"/>
        <family val="2"/>
      </rPr>
      <t>cxj</t>
    </r>
  </si>
  <si>
    <r>
      <t xml:space="preserve">ADMCT </t>
    </r>
    <r>
      <rPr>
        <b/>
        <vertAlign val="subscript"/>
        <sz val="10"/>
        <color indexed="9"/>
        <rFont val="Arial"/>
        <family val="2"/>
      </rPr>
      <t>cxj</t>
    </r>
  </si>
  <si>
    <r>
      <t xml:space="preserve">DEPef </t>
    </r>
    <r>
      <rPr>
        <b/>
        <vertAlign val="subscript"/>
        <sz val="10"/>
        <color indexed="9"/>
        <rFont val="Arial"/>
        <family val="2"/>
      </rPr>
      <t>cxj</t>
    </r>
  </si>
  <si>
    <t>CXL 230 KV Circuito Doble 750 ACAR</t>
  </si>
  <si>
    <t>CXL 115 KV Circuito Sencillo 636 ACSR</t>
  </si>
  <si>
    <t>Miles B/./km</t>
  </si>
  <si>
    <t>CXL 230 KV Circuito Doble 1200 ACAR</t>
  </si>
  <si>
    <t>CXL 230 KV  Circuito  Sencillo 1200 ACAR</t>
  </si>
  <si>
    <t>CXL 115 KV  Circuito Doble  636 ACSR</t>
  </si>
  <si>
    <t>Cuadro No.1</t>
  </si>
  <si>
    <t>CARGOS ANUALES POR CONEXIÓN</t>
  </si>
  <si>
    <t xml:space="preserve">       debido a la configuración de la subestaciones existentes.</t>
  </si>
  <si>
    <t>(a)  Esquema de conexión de interruptor y medio, con adición de uno o dos interruptores</t>
  </si>
  <si>
    <t>Factor de Actualización</t>
  </si>
  <si>
    <t>Conexión</t>
  </si>
  <si>
    <t>ETESA</t>
  </si>
  <si>
    <t>Circuito Sencillo</t>
  </si>
  <si>
    <t>Lineas de 115 kV</t>
  </si>
  <si>
    <t>Total - Conexión</t>
  </si>
  <si>
    <t>DATOS DE IMP</t>
  </si>
  <si>
    <t>(6)</t>
  </si>
  <si>
    <t>AL SISTEMA PRINCIPAL DE TRANSMISIÓN</t>
  </si>
  <si>
    <t>VNR Total</t>
  </si>
  <si>
    <t>Changuinola 115</t>
  </si>
  <si>
    <t>IP 1/2 con 8 IP</t>
  </si>
  <si>
    <t>(2) El costo típico para las líneas de 115 kV Doble Circuito con de conductor 636 ACSR.</t>
  </si>
  <si>
    <t>(3) Representa el costo típico para líneas de 230 kV Circuito Sencillo con conductor 750 ACAR.</t>
  </si>
  <si>
    <t>(4) Representa el costo típico para líneas de 230 kV Doble Circuito con conductor 750 ACAR.</t>
  </si>
  <si>
    <t>(5) Representa el costo típico para líneas de 230 kV Doble Circuito con conductor 1200 ACAR.</t>
  </si>
  <si>
    <t>(4)</t>
  </si>
  <si>
    <t>(6) Representa el costo típico para líneas de 230 kV Circuito Semcillo con conductor 1200 ACAR.</t>
  </si>
  <si>
    <t xml:space="preserve">       ASEP no proporcionó en el VNR los valores para Instalaciones de Expansión Condicionadas,</t>
  </si>
  <si>
    <t>N/A: No aplica</t>
  </si>
  <si>
    <t xml:space="preserve">       por lo que se estan utilizando los valores unitarios del Plan de Expansión 2013 para 115 y 230 KV.. </t>
  </si>
  <si>
    <t xml:space="preserve">       Para 34.5 KV se utilizan lso valores del Pliego Tarifario 2009 - 2013.</t>
  </si>
  <si>
    <t>Adición S/E El Higo (Las Guias)</t>
  </si>
  <si>
    <t>CXS230 Interruptor y Medio El Higo</t>
  </si>
  <si>
    <t>CXS230 Interruptor y Medio Seccionamiento</t>
  </si>
  <si>
    <t>CXL230 KV Circuito.Sencillo/torres Doble</t>
  </si>
  <si>
    <t>(1) Existentes y previstas dentro del Período Tarifario.</t>
  </si>
  <si>
    <t xml:space="preserve">CXTR Reductor 60/80/100 MVA </t>
  </si>
  <si>
    <t>FA</t>
  </si>
  <si>
    <t>CANTIDAD</t>
  </si>
  <si>
    <t>VNR incorporado</t>
  </si>
  <si>
    <t xml:space="preserve">INGRESO AÑO </t>
  </si>
  <si>
    <t xml:space="preserve">Reemplazos </t>
  </si>
  <si>
    <t>Reemplazos</t>
  </si>
  <si>
    <t>Miles B/.MVA</t>
  </si>
  <si>
    <t>Miles B/.km</t>
  </si>
  <si>
    <t>CXS115 Interruptor y Medio con 1P</t>
  </si>
  <si>
    <t>CXS230 Barras sencilla</t>
  </si>
  <si>
    <t>VNR - ASEP</t>
  </si>
  <si>
    <t>Meses de pago</t>
  </si>
  <si>
    <t>VALOR NUEVO DE REEMPLAZO EFICIENTE</t>
  </si>
  <si>
    <t>Fuentes:</t>
  </si>
  <si>
    <t>Control VNR SUB 2017 SPT.xlsx</t>
  </si>
  <si>
    <t>Control VNR SUB 2017 ESTRATEGICAS.xlsx</t>
  </si>
  <si>
    <t>Control VNR SUB 2017 CONEX.xlsx</t>
  </si>
  <si>
    <t>SUBESTACION
SPT</t>
  </si>
  <si>
    <t>VNR 230 KV</t>
  </si>
  <si>
    <t>VNR 115 KV</t>
  </si>
  <si>
    <t>VNR SPT
PRESENTACIÓN ETESA</t>
  </si>
  <si>
    <t>VNR SPT TOTAL
AJUSTADO</t>
  </si>
  <si>
    <t>AJUSTE</t>
  </si>
  <si>
    <t>Año</t>
  </si>
  <si>
    <t>Longitud</t>
  </si>
  <si>
    <t>Longitud por Circuito</t>
  </si>
  <si>
    <t>Aceptado Revisión 2013</t>
  </si>
  <si>
    <t>ETESA 2017</t>
  </si>
  <si>
    <t>2017 vs 2013
%</t>
  </si>
  <si>
    <t>PANAMA II</t>
  </si>
  <si>
    <t>230-1A/B,2A</t>
  </si>
  <si>
    <t>BAYANO - PACORA - PANAMA II</t>
  </si>
  <si>
    <t>PANAMA</t>
  </si>
  <si>
    <t>230-2A</t>
  </si>
  <si>
    <t xml:space="preserve">BAY - 24 DICIEMBRE </t>
  </si>
  <si>
    <t>230-2B</t>
  </si>
  <si>
    <t xml:space="preserve">24 DICIEMBRE - PANAMA II </t>
  </si>
  <si>
    <t>EL HIGO</t>
  </si>
  <si>
    <t>230-1C,2B</t>
  </si>
  <si>
    <t>PANAMA II - PANAMA</t>
  </si>
  <si>
    <t>230-3A,4A</t>
  </si>
  <si>
    <t>PANAMA - CHORRERA</t>
  </si>
  <si>
    <t>VELADERO</t>
  </si>
  <si>
    <t>230-3B,4B</t>
  </si>
  <si>
    <t>CHORRERA - LL.SANCHEZ</t>
  </si>
  <si>
    <t>GUASQUITAS</t>
  </si>
  <si>
    <t>LINEAS DE 230 kV</t>
  </si>
  <si>
    <t>230-5A,6A</t>
  </si>
  <si>
    <t>LL.SANCHEZ - VELADERO</t>
  </si>
  <si>
    <t xml:space="preserve">MATA DE NANCE </t>
  </si>
  <si>
    <t>DOBLE CIRCUITO</t>
  </si>
  <si>
    <t>230-5B,6B</t>
  </si>
  <si>
    <t>VELADERO - MATA NANCE</t>
  </si>
  <si>
    <t>230-7,8</t>
  </si>
  <si>
    <t>MATA NANCE - FORTUNA</t>
  </si>
  <si>
    <t>FORTUNA NAVE 3</t>
  </si>
  <si>
    <t>230-12,13</t>
  </si>
  <si>
    <t>LL.SANCHEZ - PANAMA II</t>
  </si>
  <si>
    <t>LA ESPERANZA NAVE 1</t>
  </si>
  <si>
    <t>230-14,15</t>
  </si>
  <si>
    <t>VELADERO - LL. SANCHEZ</t>
  </si>
  <si>
    <t>CAÑAZAS</t>
  </si>
  <si>
    <t>230-16,17</t>
  </si>
  <si>
    <t>GUASQUITAS - VELADERO</t>
  </si>
  <si>
    <t>CHANGUINOLA</t>
  </si>
  <si>
    <t>230-18, 29</t>
  </si>
  <si>
    <t>GUASQUITAS - FORTUNA (*)</t>
  </si>
  <si>
    <t>CACERES</t>
  </si>
  <si>
    <t>230-20A</t>
  </si>
  <si>
    <t>FORTUNA - LA ESPERANZA</t>
  </si>
  <si>
    <t>SANTA RITA</t>
  </si>
  <si>
    <t>230-20B</t>
  </si>
  <si>
    <t>LA ESPERANZA - CHANGUINOLA</t>
  </si>
  <si>
    <t>CALDERA</t>
  </si>
  <si>
    <t>230-29</t>
  </si>
  <si>
    <t>GUASQUITAS - CAÑAZAS</t>
  </si>
  <si>
    <t>230-30</t>
  </si>
  <si>
    <t>CAÑAZAS - CHANGUINOLA</t>
  </si>
  <si>
    <t>SUBESTACION
ESTRATÉGICAS</t>
  </si>
  <si>
    <t>VNR
ESTRATÉGICAS ETESA</t>
  </si>
  <si>
    <t>VNR
AJUSTADO
ESTRATÉGICAS</t>
  </si>
  <si>
    <t>(*) Pasa a Circuito Sencillo en VNR 2017</t>
  </si>
  <si>
    <t>Valores expresados en Balboas</t>
  </si>
  <si>
    <t>BOQUERON III</t>
  </si>
  <si>
    <t>SAN BARTOLO</t>
  </si>
  <si>
    <t>230-9A</t>
  </si>
  <si>
    <t>MATA NANCE - BOQUERON III</t>
  </si>
  <si>
    <t>230-9B</t>
  </si>
  <si>
    <t>BOQUERON III - PROGRESO</t>
  </si>
  <si>
    <t>SUBESTACION
CONEXIÓN</t>
  </si>
  <si>
    <t>VNR
230 KV</t>
  </si>
  <si>
    <t>VNR
115 KV</t>
  </si>
  <si>
    <t>VNR
34 KV</t>
  </si>
  <si>
    <t>VNR PRESENTACIÓN ETESA</t>
  </si>
  <si>
    <t>VNR CONEXIÓN
AJUSTADO</t>
  </si>
  <si>
    <t>CIRCUITO SENCILLO</t>
  </si>
  <si>
    <t>230-10</t>
  </si>
  <si>
    <t>PROGRESO - FRONTERA</t>
  </si>
  <si>
    <t>230-21</t>
  </si>
  <si>
    <t>CHANGUINOLA - FRONTERA</t>
  </si>
  <si>
    <t>E LHIGO</t>
  </si>
  <si>
    <t>230- XX</t>
  </si>
  <si>
    <t>DESVIACIÓN FORTUNA</t>
  </si>
  <si>
    <t>CHARCO AZUL</t>
  </si>
  <si>
    <t>115-1A,2A</t>
  </si>
  <si>
    <t xml:space="preserve">CACERES - STA. RITA </t>
  </si>
  <si>
    <t>LINEAS DE 115 kV</t>
  </si>
  <si>
    <t>115-1B,2B</t>
  </si>
  <si>
    <t>STA. RITA - BLM 1</t>
  </si>
  <si>
    <t>115-15,16</t>
  </si>
  <si>
    <t>MATA NANCE - CALDERA</t>
  </si>
  <si>
    <t>115-3A,3B,4A,4B</t>
  </si>
  <si>
    <t>BAHIA LAS MINAS - PANAMA</t>
  </si>
  <si>
    <t>115-12</t>
  </si>
  <si>
    <t>PANAMA - CACERES</t>
  </si>
  <si>
    <t>VNR 2008</t>
  </si>
  <si>
    <t>VNR 2012</t>
  </si>
  <si>
    <t>VNR ETESA</t>
  </si>
  <si>
    <t>115-37</t>
  </si>
  <si>
    <t>PANAMA - CACERES SUBT.</t>
  </si>
  <si>
    <t>Líneas SPT</t>
  </si>
  <si>
    <t>115-17</t>
  </si>
  <si>
    <t>CALDERA - LA ESTRELLA</t>
  </si>
  <si>
    <t>Líneas Conexión</t>
  </si>
  <si>
    <t>115-18</t>
  </si>
  <si>
    <t>CALDERA - LOS VALLES</t>
  </si>
  <si>
    <t>Subestaciones SPT</t>
  </si>
  <si>
    <t>115-19</t>
  </si>
  <si>
    <t>CALDERA - PAJA DE SOMBRERO</t>
  </si>
  <si>
    <t>Subestaciones Conexión</t>
  </si>
  <si>
    <t>115-25</t>
  </si>
  <si>
    <t>PROGRESO - CHARCO AZUL</t>
  </si>
  <si>
    <t>Subestaciones Estrategicas</t>
  </si>
  <si>
    <t>nd</t>
  </si>
  <si>
    <t>VNR LINEAS</t>
  </si>
  <si>
    <t>VNR Actual</t>
  </si>
  <si>
    <t>VNR Líneas 2016</t>
  </si>
  <si>
    <t>VNR SSEE SPT 2016</t>
  </si>
  <si>
    <t>VNR SSEE EST 2016</t>
  </si>
  <si>
    <t>Tercer Línea 2015 -2016</t>
  </si>
  <si>
    <t>SUBESTACION</t>
  </si>
  <si>
    <t>VNR [B./]</t>
  </si>
  <si>
    <t>TRAFOS</t>
  </si>
  <si>
    <t>RESTO</t>
  </si>
  <si>
    <t xml:space="preserve">CHORRERA Patio 230kV </t>
  </si>
  <si>
    <t xml:space="preserve">CHORRERA Patio 34kV </t>
  </si>
  <si>
    <t>LLANO SANCHEZ Patio 230kV</t>
  </si>
  <si>
    <t>LLANO SANCHEZ Patio 115kV</t>
  </si>
  <si>
    <t>LLANO SANCHEZ Patio 34kV</t>
  </si>
  <si>
    <t>MATA DE NANCE  Patio 34kV</t>
  </si>
  <si>
    <t>PROGRESO Patio 115kV</t>
  </si>
  <si>
    <t>PROGRESO Patio 34kV</t>
  </si>
  <si>
    <t>CHANGUINOLA Patio 115kV</t>
  </si>
  <si>
    <t>CHANGUINOLA Patio 34kV</t>
  </si>
  <si>
    <t>CHARCO AZUL Patio 115 kV</t>
  </si>
  <si>
    <t>2013-2017</t>
  </si>
  <si>
    <t>Progreso 230</t>
  </si>
  <si>
    <t>El Higo 230</t>
  </si>
  <si>
    <t>IP 1/2 con 11 IP</t>
  </si>
  <si>
    <t>Salidas</t>
  </si>
  <si>
    <t>AJUSTE VNR ETESA $</t>
  </si>
  <si>
    <t>Llano Sánchez Transformador 100MVA</t>
  </si>
  <si>
    <t>Chorrera Transformador 100MVA</t>
  </si>
  <si>
    <t>N/A para el 2017-2021</t>
  </si>
  <si>
    <t>IPCT VNR</t>
  </si>
  <si>
    <t>VPN</t>
  </si>
  <si>
    <t>B/.MILES</t>
  </si>
  <si>
    <t>Administración</t>
  </si>
  <si>
    <t>Operación y Mantenimiento</t>
  </si>
  <si>
    <t>CONEXIÓN</t>
  </si>
  <si>
    <t>ACTCT (Activo bruto Conexión)</t>
  </si>
  <si>
    <t>ACTIVOS EXISTENTES (al final del año calendario)</t>
  </si>
  <si>
    <t>Tasa de Depreciación</t>
  </si>
  <si>
    <t>VNR CONEXIÓN
230 KV</t>
  </si>
  <si>
    <t>VNR CONEXIÓN
115 KV</t>
  </si>
  <si>
    <t>VNR CONEXIÓN
34 KV</t>
  </si>
  <si>
    <t>VNR CONEXION PRESENTACIÓN ETESA</t>
  </si>
  <si>
    <t>EMPRESA DE TRANSMISIÓN ELÉCTRICA S.A.</t>
  </si>
  <si>
    <t xml:space="preserve">PARÁMETROS Y VALORES UTILIZADOS EN EL CÁLCULO DE LOS INGRESOS MÁXIMOS  PERMITIDOS </t>
  </si>
  <si>
    <t>PARAMETROS IMP</t>
  </si>
  <si>
    <t>Tasa depreciación nuevas inversiones</t>
  </si>
  <si>
    <t>ACTIVOS RECONOCIDOS</t>
  </si>
  <si>
    <t>Valores Expresados en Miles de Balboas</t>
  </si>
  <si>
    <t>ACTSPT (Activo bruto Sistema Principal) + PG. Asignado a G y D</t>
  </si>
  <si>
    <t>ACTSPTL (Activo bruto Sistema Principal) + PG. Asignado a D</t>
  </si>
  <si>
    <t>ACTH (Activo bruto Hidro. Remanente)</t>
  </si>
  <si>
    <t>ACTNSPT (Activo Neto Sistema Principal) + PG. Asignado a G y D</t>
  </si>
  <si>
    <t>ACTNSPTL (Activo Neto Sistema Principal) + PG. Asignado a D</t>
  </si>
  <si>
    <t>ACTNTC (Activo Neto Conexión)</t>
  </si>
  <si>
    <t>ACTNH (Activo Neto Hidro. Remanente)</t>
  </si>
  <si>
    <t>ADICIONES (al final del año calendario)</t>
  </si>
  <si>
    <t>CONTROL SI/NO</t>
  </si>
  <si>
    <t>OBSERVACIONES</t>
  </si>
  <si>
    <t>ACTBAGyD (Adic Activo Bruto) + PG. Asignado a G y D</t>
  </si>
  <si>
    <t>NO</t>
  </si>
  <si>
    <t>70% Comunicaciones + Planta General según Plan de Expansión</t>
  </si>
  <si>
    <t>SI</t>
  </si>
  <si>
    <t>ACTBAD (Adic Activo Bruto) + PG. Asignado a D</t>
  </si>
  <si>
    <t>30% Comunicaciones + Planta General + Resto Plan Expansión Corto, Largo Plazo y Reposición sin Tercera Línea ni Santa Rita Panamá II</t>
  </si>
  <si>
    <t>ACTNAGyD (Adic Activo Neto) + PG. Asignado a G y D</t>
  </si>
  <si>
    <t>ACTNAD (Adic Activo Neto) + PG. Asignado a D</t>
  </si>
  <si>
    <t>ADICIONES Parciales (durante el año calendario)</t>
  </si>
  <si>
    <t>∆ACTBAD (TERCERA LÍNEA). Asignado a D</t>
  </si>
  <si>
    <t>Proporcional Tercera Línea</t>
  </si>
  <si>
    <t>∆ACTBAGyD (Adic Activo Bruto) + PG. Asignado a G y D</t>
  </si>
  <si>
    <t>∆ACTBAD (Adic Activo Bruto) + PG. Asignado a D</t>
  </si>
  <si>
    <t>∆ACTBAC (Adic Conexión)</t>
  </si>
  <si>
    <t>ACTIVOS EFICIENTES (VNR)</t>
  </si>
  <si>
    <t>ACTIVOS EXISTENTES (al final del año)</t>
  </si>
  <si>
    <t>ACTEGyDef (Sistema Principal + PG). Asignado a G y D</t>
  </si>
  <si>
    <t>ACTEDef (Sistema Principal + PG). Asignado a D</t>
  </si>
  <si>
    <t>ACTCTef (Conexión)</t>
  </si>
  <si>
    <t>ACTIVOS EFICIENTES ADICIONALES (Al final del año calendario)</t>
  </si>
  <si>
    <t>ACTAGyDef (Sistema Principal + PG). Asignado a G y D</t>
  </si>
  <si>
    <t>Inversiones en Planta General y Comunicaciones según Plan de Expansión</t>
  </si>
  <si>
    <t>ACTADef (Sistema Principal + PG). Asignado a D</t>
  </si>
  <si>
    <t>ACTCAef (Conexión)</t>
  </si>
  <si>
    <t>∆ACTAD (3era línea). Asignado a D</t>
  </si>
  <si>
    <t>∆ACTAGyD (parcial)</t>
  </si>
  <si>
    <t>∆ACTAD (parcial)</t>
  </si>
  <si>
    <t>∆ACTAC (parcial)</t>
  </si>
  <si>
    <t>INGRESOS MÁXIMOS PERMITIDOS POR ACTIVOS EXISTENTES</t>
  </si>
  <si>
    <t>ACTIVOS EXISTENTES. Asignados a G y D</t>
  </si>
  <si>
    <t>Depreciación</t>
  </si>
  <si>
    <t>Rentabilidad sobre Activos</t>
  </si>
  <si>
    <t>Generación Obligada</t>
  </si>
  <si>
    <t>Estudio PEST y por gestión de compra de potencia y energía</t>
  </si>
  <si>
    <t>Preliminar (Promedio Semestral según Solicitud ETESA en Período Tarifario 2013 - 2017)</t>
  </si>
  <si>
    <t>Total</t>
  </si>
  <si>
    <t>ACTIVOS EXISTENTES. Asignados a D</t>
  </si>
  <si>
    <t>Crédito por Restricción Tercera Línea</t>
  </si>
  <si>
    <t>ACTIVOS ADICIONALES. Asignados a G y D</t>
  </si>
  <si>
    <t>Diferido Proximo Período</t>
  </si>
  <si>
    <t>Operación y Mantenimiento. OMSPAGyD</t>
  </si>
  <si>
    <t>Adicional O&amp;M. ∆OMSPAGyD</t>
  </si>
  <si>
    <t>Administración. ADMSPAGyD</t>
  </si>
  <si>
    <t>Adicional Administración. ∆ADMSPAGyD</t>
  </si>
  <si>
    <t>Adicional Depreciación.  ∆DepSPAGyD</t>
  </si>
  <si>
    <t>Adicional Rentabilidad.  ∆RentSPAGyD</t>
  </si>
  <si>
    <t>ACTIVOS ADICIONALES. Asignados a D</t>
  </si>
  <si>
    <t>Operación y Mantenimiento. OMSPAD</t>
  </si>
  <si>
    <t>Adicional O&amp;M. ∆OMSPAD</t>
  </si>
  <si>
    <t>Administración. ADMSPAD</t>
  </si>
  <si>
    <t>Adicional Administración. ∆ADMSPAD</t>
  </si>
  <si>
    <t>Adicional Depreciación.  ∆DepSPAD</t>
  </si>
  <si>
    <t>Adicional Rentabilidad.  ∆RentSPAD</t>
  </si>
  <si>
    <t>SERVICIO DE OPERACIÓN INTEGRADA (SOI)</t>
  </si>
  <si>
    <t>Centro Nacional de Despacho</t>
  </si>
  <si>
    <t>Hidrometeorología</t>
  </si>
  <si>
    <t>INGRESO ANUAL PERMITIDO EXISTENTE (Año Tarifario)</t>
  </si>
  <si>
    <t>VNA</t>
  </si>
  <si>
    <t>IPSPEGyD. EXISTENTE</t>
  </si>
  <si>
    <t>IPSPED. EXISTENTE</t>
  </si>
  <si>
    <t>IPSPEGyD. EXISTENTE. CONSTANTE</t>
  </si>
  <si>
    <t>IPSPED. EXISTENTE. CONSTANTE</t>
  </si>
  <si>
    <t>INGRESO ANUAL PERMITIDO (Año Tarifario)</t>
  </si>
  <si>
    <t>SISTEMA PRINCIPAL Asignado a G y D</t>
  </si>
  <si>
    <t>IPSPAGyD. ADICIONAL</t>
  </si>
  <si>
    <t>IPSPGyD. TOTAL</t>
  </si>
  <si>
    <t>SISTEMA PRINCIPAL Asignado a D</t>
  </si>
  <si>
    <t>IPSPAD. ADICIONAL</t>
  </si>
  <si>
    <t>IPSPD. TOTAL</t>
  </si>
  <si>
    <t>SERVICIO DE OPERACIÓN INTEGRADA</t>
  </si>
  <si>
    <t>SOI TOTAL</t>
  </si>
  <si>
    <t>IMP EXISTENTE TOTAL</t>
  </si>
  <si>
    <t xml:space="preserve">FACTOR DE ACTUALIZACIÓN </t>
  </si>
  <si>
    <t>VPN del IMP (Año Tarifario) (A comienzos del período tarifario)</t>
  </si>
  <si>
    <t>VPN 2013 - 2017</t>
  </si>
  <si>
    <t>VPN 2017 - 2021</t>
  </si>
  <si>
    <t>Delta VPN 
2017 -2021 vs
 2013 - 2016</t>
  </si>
  <si>
    <t>SPT GyD</t>
  </si>
  <si>
    <t>SPT D</t>
  </si>
  <si>
    <t>SOI</t>
  </si>
  <si>
    <t>IMP Existente</t>
  </si>
  <si>
    <t>Variación Anual 2017 - 2021</t>
  </si>
  <si>
    <t>Incremento Anual Acumulado 2017 - 2021</t>
  </si>
  <si>
    <t>jul17-jun18</t>
  </si>
  <si>
    <t>jul18-jun19</t>
  </si>
  <si>
    <t>jul19-jun20</t>
  </si>
  <si>
    <t>jul20-jun21</t>
  </si>
  <si>
    <t>jul13-jun14</t>
  </si>
  <si>
    <t>jul14-jun15</t>
  </si>
  <si>
    <t>jul15-jun16</t>
  </si>
  <si>
    <t>jul16-jun17</t>
  </si>
  <si>
    <t>SUB TOTAL</t>
  </si>
  <si>
    <t>ACTIVOS EXISTENTES</t>
  </si>
  <si>
    <t>SPT. Asignado a Generación y Demanda</t>
  </si>
  <si>
    <t>Tasa de depreciación activos</t>
  </si>
  <si>
    <t>Activos brutos al comienzo del año</t>
  </si>
  <si>
    <t>Activos netos al comienzo del año</t>
  </si>
  <si>
    <t>Depreciación Anual</t>
  </si>
  <si>
    <t>Activos brutos al final del año</t>
  </si>
  <si>
    <t>Activos netos al final del año</t>
  </si>
  <si>
    <t>Depreciación Acumulada</t>
  </si>
  <si>
    <t>Activos netos al final del año (verificación)</t>
  </si>
  <si>
    <t>SPT. Asignado a Demanda (3° línea)</t>
  </si>
  <si>
    <t>Inversiones. Asignado a Demanda (3° línea)</t>
  </si>
  <si>
    <t>Inversión anual</t>
  </si>
  <si>
    <t>Inversión (proporcional)</t>
  </si>
  <si>
    <t>Tasa de depreciación</t>
  </si>
  <si>
    <t>Planta General (#). Asignado a Generación y Demanda</t>
  </si>
  <si>
    <t>Tasa de depreciación retiros</t>
  </si>
  <si>
    <t>Retiros</t>
  </si>
  <si>
    <t>Planta General (#). Asignado a Demanda</t>
  </si>
  <si>
    <t>(#) No aplica Artículo 186 Reglamento de Transmisión</t>
  </si>
  <si>
    <t>SPT + Planta General Asignado a Generación y Demanda</t>
  </si>
  <si>
    <t>SPT + Planta General Asignado a Demanda</t>
  </si>
  <si>
    <t>INVERSIONES</t>
  </si>
  <si>
    <t>Tasa de depreciación de inversiones</t>
  </si>
  <si>
    <t>Inversión Planta General</t>
  </si>
  <si>
    <t>Asignada a Generación y Demanda</t>
  </si>
  <si>
    <t>Asignada a Demanda</t>
  </si>
  <si>
    <t>Inversión anual Sistema Principal Transmisión</t>
  </si>
  <si>
    <t>Inversion anual Comunicaciones</t>
  </si>
  <si>
    <t>Inversión anual Estrategica (no suma en la base)</t>
  </si>
  <si>
    <t>ADICIONES</t>
  </si>
  <si>
    <t>Inversiones</t>
  </si>
  <si>
    <t>PLAN DEL SISTEMA DE TRANSMISIÓN DE CORTO PLAZO</t>
  </si>
  <si>
    <t>PLAN DEL SISTEMA DE TRANSMISIÓN DE LARGO PLAZO</t>
  </si>
  <si>
    <t xml:space="preserve">PLAN DE REPOSICIÓN </t>
  </si>
  <si>
    <t>Inversión corto, largo plazo y reposición</t>
  </si>
  <si>
    <t>Inversión anual SPT. Asignada a Generación y Demanda</t>
  </si>
  <si>
    <t>Inversión anual SPT. Asignada a Demanda</t>
  </si>
  <si>
    <t>Inversión anual Planta General (PG)</t>
  </si>
  <si>
    <t>Inversión anual PG (incluye Comunicaciones). Asignada a G y D</t>
  </si>
  <si>
    <t>Inversión anual PG (incluye comunicaciones). Asignada a D</t>
  </si>
  <si>
    <t>Adiciones Sistema Principal Transmisión. Asignada a G y D</t>
  </si>
  <si>
    <t>Activos netos al final del año calendario</t>
  </si>
  <si>
    <t>Activos brutos al final del año calendario</t>
  </si>
  <si>
    <t>Activos netos al final del año calendario (verificación)</t>
  </si>
  <si>
    <t>Adiciones Sistema Principal Transmisión</t>
  </si>
  <si>
    <t xml:space="preserve"> Asignada a D</t>
  </si>
  <si>
    <t>Adiciones Planta General</t>
  </si>
  <si>
    <t>Asignada a G y D</t>
  </si>
  <si>
    <t>Asignada a D</t>
  </si>
  <si>
    <t>Adiciones. Sistema Principal de Transmisión + Pta Gral.</t>
  </si>
  <si>
    <t>Asignado a G y D</t>
  </si>
  <si>
    <t>Depreciación Año calendario</t>
  </si>
  <si>
    <t>Asignado a D</t>
  </si>
  <si>
    <t>ACTIVOS BRUTOS CONEXIÓN TRANSPORTE</t>
  </si>
  <si>
    <t>ACTIVOS NETOS CONEXIÓN TRANSPORTE</t>
  </si>
  <si>
    <t>Sistema Principal de Transmisión. Asignado a G y D</t>
  </si>
  <si>
    <t>Sistema Principal de Transmisión. Asignado a D</t>
  </si>
  <si>
    <t>Planta General + Activos Estratégicos. Asignado a G y D</t>
  </si>
  <si>
    <t>Planta General + Activos Estratégicos. Asignado a D</t>
  </si>
  <si>
    <t>Conexiones (incluye adiciones)</t>
  </si>
  <si>
    <t>ADICIONES ACUMULADAS (al final del año calendario)</t>
  </si>
  <si>
    <t>ADICIONES PROPORCIONALES (al final del año calendario)</t>
  </si>
  <si>
    <t>dic-16-jun-17</t>
  </si>
  <si>
    <t>jul-17-jun-18</t>
  </si>
  <si>
    <t>jul-18-jun-19</t>
  </si>
  <si>
    <t>jul-19-jun-20</t>
  </si>
  <si>
    <t>jul-20-jun-21</t>
  </si>
  <si>
    <t>1er Semestre Año Tarifario</t>
  </si>
  <si>
    <t>2do Semestre Año Tarifario</t>
  </si>
  <si>
    <t>Adiciones Sistema Principal Transmisión. Asignada a D</t>
  </si>
  <si>
    <t>Adiciones Planta General. Asignada a G y D</t>
  </si>
  <si>
    <t>Adiciones Planta General. Asignada a D</t>
  </si>
  <si>
    <t>% del año tarifario activado. 1er Semestre Año Tarifario</t>
  </si>
  <si>
    <t>% del año tarifario activado. 2do Semestre Año Tarifario</t>
  </si>
  <si>
    <t>Composición</t>
  </si>
  <si>
    <t>230 kV + PG</t>
  </si>
  <si>
    <t>115 KV</t>
  </si>
  <si>
    <t>Adiciones SP +  PG. Asignada a G y D. Activada durante el año</t>
  </si>
  <si>
    <t>Adiciones SP +  PG. Asignada a D. Activada durante el año</t>
  </si>
  <si>
    <t>HIDROMETEOROLOGÍA</t>
  </si>
  <si>
    <t>ACTIVOS EFICIENTES</t>
  </si>
  <si>
    <t>VNR Sistema Principal</t>
  </si>
  <si>
    <t>VNR Planta General</t>
  </si>
  <si>
    <t>VNR Estrategicos</t>
  </si>
  <si>
    <t>VNR EFICIENTE (SPT_ESTRATEGICAS_PLANTA GENERAL)</t>
  </si>
  <si>
    <t>VNR asignado a demanda</t>
  </si>
  <si>
    <t>VNR Conexiones</t>
  </si>
  <si>
    <t>Verificación Artículo 186 Reglamento de Transmisión (Tope 10%)</t>
  </si>
  <si>
    <t>Valor libro Equipo de Comunicación de Planta General</t>
  </si>
  <si>
    <t>Balboas</t>
  </si>
  <si>
    <t>Relacion entre VNR SPT y Valor libro SPT</t>
  </si>
  <si>
    <t>x</t>
  </si>
  <si>
    <t>VNR Equipo de comunicación</t>
  </si>
  <si>
    <t>Activos Contables Eficientes (Tope Artículo 186 RT)</t>
  </si>
  <si>
    <t>Verificación del Artículo 186 Reglamento de Transmisión</t>
  </si>
  <si>
    <t>Activos Eléctricos (AE) valor libros (SPT+EC)</t>
  </si>
  <si>
    <t>Activos No Eléctricos (ANE) - valor de libros sin EC</t>
  </si>
  <si>
    <t>ANE/AE</t>
  </si>
  <si>
    <t>Activos PG Tope 10%</t>
  </si>
  <si>
    <t>Mínimo</t>
  </si>
  <si>
    <t>Porcentaje Eficiente Resultante</t>
  </si>
  <si>
    <t>Llano Sánchez 230</t>
  </si>
  <si>
    <t>SUBESTACION CHORRERA 230 KV</t>
  </si>
  <si>
    <t>ITEM N°</t>
  </si>
  <si>
    <t>DESCRIPCION</t>
  </si>
  <si>
    <t>Costo Unitario Suministro B/.</t>
  </si>
  <si>
    <t xml:space="preserve">Total Suministro B/. </t>
  </si>
  <si>
    <t>Interruptores 115 KV</t>
  </si>
  <si>
    <t>Interruptores 115 KV, Tripolar con seccionamiento y puesta a tierra incorporado</t>
  </si>
  <si>
    <t>Cuchillas Tripolares Motorizadas con cuchilla a tierra 115 KV</t>
  </si>
  <si>
    <t>Cuchillas Tripolares Motorizadas sin cuchilla a tierra 115 KV</t>
  </si>
  <si>
    <t>Cuchillas Tripolares manuales sin cuchilla a tierra 115 KV</t>
  </si>
  <si>
    <t>Cuchillas Tripolares manuales con cuchilla a tierra 115 KV</t>
  </si>
  <si>
    <t>Interruptores 230 KV, de disparo monopolar</t>
  </si>
  <si>
    <t>Interruptores 230 KV, de disparo tripolar</t>
  </si>
  <si>
    <t>Cuchillas Tripolares Motorizadas con cuchilla a tierra 230 KV para Reactor</t>
  </si>
  <si>
    <t>Cuchillas Tripolares Motorizadas con cuchilla a tierra 230 KV</t>
  </si>
  <si>
    <t>Cuchillas Tripolares Motorizadas sin cuchilla a tierra 230 KV</t>
  </si>
  <si>
    <t>Cuchillas Tripolares manuales sin cuchilla a tierra 230 KV</t>
  </si>
  <si>
    <t>Pararrayos 192 KV</t>
  </si>
  <si>
    <t>Pararrayos 96 KV</t>
  </si>
  <si>
    <t>CT 230 KV</t>
  </si>
  <si>
    <t>CT 115 KV</t>
  </si>
  <si>
    <t xml:space="preserve">PT 230 KV </t>
  </si>
  <si>
    <t xml:space="preserve">PT 115 KV </t>
  </si>
  <si>
    <t>PT de Potencia y Potencial 115 kV</t>
  </si>
  <si>
    <t xml:space="preserve">Autotrasformador de Potencia 230/115/13.8 kV 210/280/350 MVA </t>
  </si>
  <si>
    <t xml:space="preserve">Autotrasformador de Potencia 230/115/13.8 kV 105/140/175 MVA </t>
  </si>
  <si>
    <t xml:space="preserve">Transformadores 230/115 KV 100/120/150 MVA </t>
  </si>
  <si>
    <t xml:space="preserve">Autotrasformador de Potencia 230/115/34.5 kV y 100 MVA </t>
  </si>
  <si>
    <t xml:space="preserve">Autotrasformador de Potencia 230/115/34.5 kV y 50 MVA </t>
  </si>
  <si>
    <t>Transformador de Potencia 115/4,16 kV. y 24 MVA</t>
  </si>
  <si>
    <t>Transformador de Puesta  a Tierra 5 MVA , 34.5 kV</t>
  </si>
  <si>
    <t>Sistema de extinción de incendio para transformadores</t>
  </si>
  <si>
    <t>Reactor Trifásico de 20 MVAR, 230 kV</t>
  </si>
  <si>
    <t>Reactor Trifásico de 20 MVAR, 34.5 kV</t>
  </si>
  <si>
    <t>Banco de Capacitores 230 kV 30 MVAR</t>
  </si>
  <si>
    <t>Banco de Capacitores 115 kV 15 MVAR</t>
  </si>
  <si>
    <t>Interruptores 34.5 KV</t>
  </si>
  <si>
    <t>Cuchillas Tripolares manuales sin cuchilla a tierra 34.5 KV</t>
  </si>
  <si>
    <t>Cuchillas Tripolares manuales con cuchilla a tierra 34.5 KV</t>
  </si>
  <si>
    <t>Cuchillas Tripolares Motorizadas sin cuchilla a tierra 34.5 KV</t>
  </si>
  <si>
    <t>Pararrayos 34.5 KV</t>
  </si>
  <si>
    <t xml:space="preserve">PT 34.5KV </t>
  </si>
  <si>
    <t>CT 34.5 KV</t>
  </si>
  <si>
    <t>SUBTOTAL DE EQUIPOS</t>
  </si>
  <si>
    <t>SUBTOTAL DE EQUIPOS, SIN EQUIPOS DE TRANSFORMACIÓN Y REGULACIÓN</t>
  </si>
  <si>
    <t>% Sobre ítemes de Costos Unitario Sin Equipos de Transformación y Regulación</t>
  </si>
  <si>
    <t>Sistema de puesta a tierra</t>
  </si>
  <si>
    <t>lote</t>
  </si>
  <si>
    <t>Servicios auxiliares</t>
  </si>
  <si>
    <t xml:space="preserve">Herrajes, Estructuras y Soportes </t>
  </si>
  <si>
    <t>Equipo de Protección,  Control y Monitoreo</t>
  </si>
  <si>
    <t>Equipo de Comunicaciones</t>
  </si>
  <si>
    <t>Cables, conductores, ductos, etc.</t>
  </si>
  <si>
    <t>SUB TOTAL SUMINISTRO</t>
  </si>
  <si>
    <t>% sobre Subtotal Suministro</t>
  </si>
  <si>
    <t xml:space="preserve">Montaje </t>
  </si>
  <si>
    <t>Obras Civiles Generales</t>
  </si>
  <si>
    <t>vnr de llano sanchez de 15.5mm considera</t>
  </si>
  <si>
    <t>TOTAL COSTO BASE</t>
  </si>
  <si>
    <t>transfos</t>
  </si>
  <si>
    <t>% sobre Total Costo Base</t>
  </si>
  <si>
    <t>patio 230</t>
  </si>
  <si>
    <t>Contingencias</t>
  </si>
  <si>
    <t>Diseño</t>
  </si>
  <si>
    <t>ajustes a vnr</t>
  </si>
  <si>
    <t>Ingeniería</t>
  </si>
  <si>
    <t>Inspección</t>
  </si>
  <si>
    <t>vnr ajustado</t>
  </si>
  <si>
    <t>IDC</t>
  </si>
  <si>
    <t>EIA</t>
  </si>
  <si>
    <t>Terrenos</t>
  </si>
  <si>
    <t>m2</t>
  </si>
  <si>
    <t>COSTO TOTAL</t>
  </si>
  <si>
    <t>100ma</t>
  </si>
  <si>
    <t>factor de ajuste</t>
  </si>
  <si>
    <t>50mva</t>
  </si>
  <si>
    <t>SUBESTACION LLANO SANCHEZ 230 KV</t>
  </si>
  <si>
    <t xml:space="preserve">Autotrasformador de Potencia 230/115 kV 100 MVA </t>
  </si>
  <si>
    <t xml:space="preserve">Transformadores 230/115 KV 100 MVA </t>
  </si>
  <si>
    <t xml:space="preserve">Autotrasformador de Potencia 230/115/34.5 kV y 70 MVA </t>
  </si>
  <si>
    <t>100MVA</t>
  </si>
  <si>
    <t>70MVA</t>
  </si>
  <si>
    <t>SUBESTACION CHARCO AZUL 115/34.5  KV</t>
  </si>
  <si>
    <t>Transformador de Potencia 115/4.16 KV 24 MVA</t>
  </si>
  <si>
    <t>Daniel LLS</t>
  </si>
  <si>
    <t>Daniel &lt;charco azul</t>
  </si>
  <si>
    <t>Daniel Chorrera</t>
  </si>
  <si>
    <t>VNR 230 KV Ajustado</t>
  </si>
  <si>
    <t>VNR 115 KV Ajustado</t>
  </si>
  <si>
    <t>VNR Ajustado
230 KV</t>
  </si>
  <si>
    <t>VNR Ajustado
115 KV</t>
  </si>
  <si>
    <t>VNR Ajustado
34 KV</t>
  </si>
  <si>
    <t>VNR LINEAS SPT</t>
  </si>
  <si>
    <t>VNR LINEAS CONEXIÓN</t>
  </si>
  <si>
    <r>
      <t xml:space="preserve">Planta General </t>
    </r>
    <r>
      <rPr>
        <b/>
        <vertAlign val="superscript"/>
        <sz val="8.5"/>
        <color theme="0"/>
        <rFont val="Calibri"/>
        <family val="2"/>
      </rPr>
      <t>(#)</t>
    </r>
    <r>
      <rPr>
        <b/>
        <sz val="10"/>
        <color theme="0"/>
        <rFont val="Calibri"/>
        <family val="2"/>
        <scheme val="minor"/>
      </rPr>
      <t>. Asignado a Generación y Demanda</t>
    </r>
  </si>
  <si>
    <r>
      <t xml:space="preserve">Planta General </t>
    </r>
    <r>
      <rPr>
        <b/>
        <vertAlign val="superscript"/>
        <sz val="8.5"/>
        <color theme="0"/>
        <rFont val="Calibri"/>
        <family val="2"/>
      </rPr>
      <t>(#)</t>
    </r>
    <r>
      <rPr>
        <b/>
        <sz val="10"/>
        <color theme="0"/>
        <rFont val="Calibri"/>
        <family val="2"/>
        <scheme val="minor"/>
      </rPr>
      <t>. Asignado a Demanda</t>
    </r>
  </si>
  <si>
    <t>LINEA DE TRANSMISION CONEXIÓN</t>
  </si>
  <si>
    <t>TOTAL VNR S/E</t>
  </si>
  <si>
    <t>TOTAL VNR L/T</t>
  </si>
  <si>
    <t xml:space="preserve">PARÁMETROS Y VALORES UTILIZADOS EN EL CÁLCULO DE LOS INGRESOS MÁXIMOS PERMITIDOS </t>
  </si>
  <si>
    <t>VERIFICACIÓN DE INGRESOS</t>
  </si>
  <si>
    <t>INGRESO</t>
  </si>
  <si>
    <t>AÑO 1</t>
  </si>
  <si>
    <t>AÑO 2</t>
  </si>
  <si>
    <t>AÑO 3</t>
  </si>
  <si>
    <t>AÑO 4</t>
  </si>
  <si>
    <t>Miles B./ Salida</t>
  </si>
  <si>
    <t xml:space="preserve">TOTAL </t>
  </si>
  <si>
    <t>Valor Presente de Ingresos resultantes de aplicaciónd de Cargos</t>
  </si>
  <si>
    <t xml:space="preserve">   Diferencia de Aplicación menos permitido (en millones balboas)</t>
  </si>
  <si>
    <t xml:space="preserve">    Difrencia en porcentaje</t>
  </si>
  <si>
    <t>IMP ASEP-ETESA</t>
  </si>
  <si>
    <t>Valor Presente de Ingresoso resultantes de la aplicación de cargos</t>
  </si>
  <si>
    <t>Diferencia de Aplicación menos permitido</t>
  </si>
  <si>
    <t>Diferencia en porcentaje</t>
  </si>
  <si>
    <t>EMPRESA DE TRANSMISIÓN ELÉCRICA S.A.</t>
  </si>
  <si>
    <t>INGRESO POR CARGS DE CONEXIÓN</t>
  </si>
  <si>
    <t>PRIMER SEMESTRE AÑO TARIFARIO No. 1 ( 1ro de julio  2017 al 31 de diciembre 2017)</t>
  </si>
  <si>
    <t>INGRESO TOTAL USO DEL SISTEMA PRINCIPAL DE TRANSMISION</t>
  </si>
  <si>
    <t>INGRESO TOTAL CONEXIÓN</t>
  </si>
  <si>
    <t>INGRESO TOTAL POR OPERACIÓN INTEGRADA</t>
  </si>
  <si>
    <t>INGRESO TOTAL ETESA</t>
  </si>
  <si>
    <t>(preliminar)</t>
  </si>
  <si>
    <t>BURUNGA</t>
  </si>
  <si>
    <t>BURUNGA 230</t>
  </si>
  <si>
    <t>El monto de 20603 corresponde al ingreso facturado enero primero semestre del año tarifario 3 según liquidacion</t>
  </si>
  <si>
    <t>EMPRESA DE TRANSMISIÓN ELÉCTRICA S. A.</t>
  </si>
  <si>
    <t xml:space="preserve">PLAN DE INVERSIÓN  </t>
  </si>
  <si>
    <t>PROYECTOS DE EXPANSIÓN DEL SISTEMA DE TRANSMISIÓN</t>
  </si>
  <si>
    <t>(MILES DE B/.)</t>
  </si>
  <si>
    <t>Fecha puesta en servicio</t>
  </si>
  <si>
    <t>Proporción del año en servicio</t>
  </si>
  <si>
    <t>hasta</t>
  </si>
  <si>
    <t xml:space="preserve">Fecha de Plan 2014 </t>
  </si>
  <si>
    <t xml:space="preserve">Observación </t>
  </si>
  <si>
    <t>Nueva fecha</t>
  </si>
  <si>
    <t>ADICION TRANSFORMADOR T2 S/E CHANGUINOLA 50 MVA</t>
  </si>
  <si>
    <t>ADICION BANCO CAPACITORES 90 MVAR VELADERO 230 KV</t>
  </si>
  <si>
    <t>ADICION BANCO CAPACITORES 60 MVAR SAN BARTOLO 230 KV</t>
  </si>
  <si>
    <t>ADICION BANCO CAPACITORES 30 MVAR LLANO SÁNCHEZ 230 KV</t>
  </si>
  <si>
    <t>ADICION REACTORES 40 MVAR CHANGUINOLA 230 KV</t>
  </si>
  <si>
    <t>ADICION REACTORES 20 MVAR GUASQUITAS 230 KV</t>
  </si>
  <si>
    <t>Nueva Fecha</t>
  </si>
  <si>
    <t>ADICION BANCO CAPACITORES 40 MVAR STA. RITA 115 KV 2x20 MVAR</t>
  </si>
  <si>
    <t>PLAN DEL SISTEMA DE COMUNICACIONES</t>
  </si>
  <si>
    <t>1/6/14, 1/6/15, 1/6/16 y 1/6/17</t>
  </si>
  <si>
    <t xml:space="preserve">REPOSICIÓN DE CORTO PLAZO </t>
  </si>
  <si>
    <t>2017 y 2018</t>
  </si>
  <si>
    <t xml:space="preserve">1/6/16 (MDN) y 1/6/17 (PAN) </t>
  </si>
  <si>
    <t>2014 - 2018</t>
  </si>
  <si>
    <t>Nuevo</t>
  </si>
  <si>
    <t>EQUIPAMIENTO PARA MONITOREO EN LINEA DE TRANSFORMADORES</t>
  </si>
  <si>
    <t>SISTEMA DE MONITOREO DE CONTAMINACION DE AISLADORES</t>
  </si>
  <si>
    <t>CENTRO DE MONITOREO Y CONTROL</t>
  </si>
  <si>
    <t>REPOSICIÓN DE LARGO PLAZO</t>
  </si>
  <si>
    <t>SISTEMA DE CONEXIÓN</t>
  </si>
  <si>
    <t>S/E 24 DE DICIEMBRE 230 KV 1 NAVE</t>
  </si>
  <si>
    <t>LT PROG-BUR-PORT-DOM 230 KV Y SUBESTACIONES</t>
  </si>
  <si>
    <t>NUEVA SUBESTACION BURUNGA 230 KV</t>
  </si>
  <si>
    <t>1/12/15 y 1/12/17</t>
  </si>
  <si>
    <t>PLAN DE PLANTA GENERAL</t>
  </si>
  <si>
    <t>TALLER DE S/E VELADERO</t>
  </si>
  <si>
    <t>2014 - 2021</t>
  </si>
  <si>
    <t>TALLER DE S/E PANAMA II</t>
  </si>
  <si>
    <t>PLAN ESTRATEGICO</t>
  </si>
  <si>
    <t>ADICION TRANSFORMADOR T3 S/E BOQUERON III 230/34.5 KV</t>
  </si>
  <si>
    <t>Proporción de inversión</t>
  </si>
  <si>
    <t>Comunicación</t>
  </si>
  <si>
    <t>Inversiones Estratégicas</t>
  </si>
  <si>
    <t>Planta General</t>
  </si>
  <si>
    <t>Chequeo</t>
  </si>
  <si>
    <t>Miles de Balboas - 1° de julio de 2021</t>
  </si>
  <si>
    <t xml:space="preserve">estudio SPT según resolucion en 3 cuotas, gesstión de compra. </t>
  </si>
  <si>
    <t>Compensación Subestación Burunga</t>
  </si>
  <si>
    <t>jul21-jun22</t>
  </si>
  <si>
    <t>jul22-jun23</t>
  </si>
  <si>
    <t>jul23-jun24</t>
  </si>
  <si>
    <t>jul24-jun25</t>
  </si>
  <si>
    <t>VNR SPT
ACEPTADO 2017</t>
  </si>
  <si>
    <t>VNR SPT
 ETESA 2021</t>
  </si>
  <si>
    <t>VNR SPT AJUSTADO 2021</t>
  </si>
  <si>
    <t>Ajus 2021 vs 2017
%</t>
  </si>
  <si>
    <t>Sub SPT GyD</t>
  </si>
  <si>
    <t>Sub SPT D</t>
  </si>
  <si>
    <t>VNR SPT
ESTRATÉGICAS ETESA 2021</t>
  </si>
  <si>
    <t>VNR 2021
AJUSTADO
ESTRATÉGICAS</t>
  </si>
  <si>
    <t>AJUSTE 2021 vs ETESA2021</t>
  </si>
  <si>
    <t>BELLA VISTA NAVE 2</t>
  </si>
  <si>
    <t>VNR ACEPTADO 2017</t>
  </si>
  <si>
    <t>VNR ETESA 2021</t>
  </si>
  <si>
    <t>VNR CONEXIÓN
AJUSTADO 2021</t>
  </si>
  <si>
    <t>Ajus 2021 vs ETESA 2021</t>
  </si>
  <si>
    <t>Asignado a demanda</t>
  </si>
  <si>
    <t>opcion asignado a la demanda tomando porcentuales</t>
  </si>
  <si>
    <t>Resumen</t>
  </si>
  <si>
    <t>VNR 2017</t>
  </si>
  <si>
    <t>VNR 2021 Ajustado</t>
  </si>
  <si>
    <t>Ajuste 2021</t>
  </si>
  <si>
    <t>LINEAS DE 230 kV DOBLE CIRCUITO</t>
  </si>
  <si>
    <t>BAYANO - PACORA *</t>
  </si>
  <si>
    <t>PACORA - PANAMA II *</t>
  </si>
  <si>
    <t>BAY - 24 DICIEMBRE *</t>
  </si>
  <si>
    <t>24 DICIEMBRE - PANAMA II *</t>
  </si>
  <si>
    <t>CHORRERA - EL HIGO</t>
  </si>
  <si>
    <t>230-3C,4C</t>
  </si>
  <si>
    <t>EL HIGO - LL.SANCHEZ</t>
  </si>
  <si>
    <t>230-5A,6A, 6B</t>
  </si>
  <si>
    <t>230-6A</t>
  </si>
  <si>
    <t>LLANO SANCHEZ - BELLA VISTA</t>
  </si>
  <si>
    <t>230-6B</t>
  </si>
  <si>
    <t xml:space="preserve">BELLA VISTA - VELADERO </t>
  </si>
  <si>
    <t>230-12A,13A</t>
  </si>
  <si>
    <t>PANAMA II - EL COCO</t>
  </si>
  <si>
    <t>230-12B,13B</t>
  </si>
  <si>
    <t>EL COCO - LL.SANCHEZ</t>
  </si>
  <si>
    <t>230-14A,15A</t>
  </si>
  <si>
    <t>LL. SANCHEZ - S. BARTOLO</t>
  </si>
  <si>
    <t>230-14B,15B</t>
  </si>
  <si>
    <t>S. BARTOLO - VELADERO</t>
  </si>
  <si>
    <t>VELADERO - GUASQUTAS</t>
  </si>
  <si>
    <t>GUASQUITAS - FORTUNA</t>
  </si>
  <si>
    <t>230-54,55</t>
  </si>
  <si>
    <t>T2 - PANAMA II</t>
  </si>
  <si>
    <t>230-47,48</t>
  </si>
  <si>
    <t>CHORRERA - PANAMA</t>
  </si>
  <si>
    <t>230-49,50</t>
  </si>
  <si>
    <t>LLANO SANCHEZ - CHORRERA</t>
  </si>
  <si>
    <t>230-51,52</t>
  </si>
  <si>
    <t>VELADERO - LLANO SANCHEZ</t>
  </si>
  <si>
    <t>Aceptado Revisión 2017</t>
  </si>
  <si>
    <t>ETESA 2021</t>
  </si>
  <si>
    <t>AJUSTADO 2021</t>
  </si>
  <si>
    <t>Ajustado vs ETESA</t>
  </si>
  <si>
    <t>demanda</t>
  </si>
  <si>
    <t>LINEAS DE 230 kV CIRCUITO SENCILLO</t>
  </si>
  <si>
    <t>115-3A</t>
  </si>
  <si>
    <t>PANAMA - CHILIBRE ***</t>
  </si>
  <si>
    <t>115-3B</t>
  </si>
  <si>
    <t>CHILIBRE - LAS MINAS 2 ***</t>
  </si>
  <si>
    <t>115-4A</t>
  </si>
  <si>
    <t>PANAMA - CEMENTO PANAMA ***</t>
  </si>
  <si>
    <t>115-4B</t>
  </si>
  <si>
    <t>CEMENTO PANAMA -LAS MINAS 2 ***</t>
  </si>
  <si>
    <t>LINEAS DE 115 kV DOBLE CIRCUITO</t>
  </si>
  <si>
    <t>LINEAS DE 115 kV CIRCUITO SENCILLO</t>
  </si>
  <si>
    <t>Asignado a demanda ajustado</t>
  </si>
  <si>
    <t>25% asignado a demanda naves 6 y 7</t>
  </si>
  <si>
    <t>25% asignado a demanda</t>
  </si>
  <si>
    <t>25% asognadp a demamda</t>
  </si>
  <si>
    <t>VNR SPT Asignado a GyD</t>
  </si>
  <si>
    <t>VNR SPT Asignado Tot. a D</t>
  </si>
  <si>
    <t>resta cuota fija por año calendario, CTPR</t>
  </si>
  <si>
    <t>2021-2022</t>
  </si>
  <si>
    <t>2022-2023</t>
  </si>
  <si>
    <t>2023-2024</t>
  </si>
  <si>
    <t>2024-2025</t>
  </si>
  <si>
    <t>2sem 2021</t>
  </si>
  <si>
    <t>1sem2022</t>
  </si>
  <si>
    <t>2sem2022</t>
  </si>
  <si>
    <t>1sem2023</t>
  </si>
  <si>
    <t>2sem2023</t>
  </si>
  <si>
    <t>1sem2024</t>
  </si>
  <si>
    <t>2sem2024</t>
  </si>
  <si>
    <t>1sem2025</t>
  </si>
  <si>
    <t>2021 - 2022</t>
  </si>
  <si>
    <t>2022 - 2023</t>
  </si>
  <si>
    <t>2023 - 2024</t>
  </si>
  <si>
    <t>2024 - 2025</t>
  </si>
  <si>
    <t>FA = VP del IPCT / VP del IPCTvnr  (según Modelo IMP)</t>
  </si>
  <si>
    <t xml:space="preserve"> VP del IPCT </t>
  </si>
  <si>
    <t>S/E EL COCO 230 KV 2 NAVES</t>
  </si>
  <si>
    <t>S/E PACORA 230 KV 1 NAVE</t>
  </si>
  <si>
    <t>LT COSTA NORTE - TORRE 4 230 KV</t>
  </si>
  <si>
    <t>S/E LLANO SANCHEZ BARRA 34.5 KV</t>
  </si>
  <si>
    <t>En Ejecucion o por Refrendo</t>
  </si>
  <si>
    <t>ADICIÓN S/E MATA DE NANCE 230 KV (LT MDN-BOQ-PRO.FRO)</t>
  </si>
  <si>
    <t>ADICIÓN S/E PROGRESO 230 KV y REEMP. INT. 230 KV (LT MDN-BOQ-PRO-FRO)</t>
  </si>
  <si>
    <t>STATCOM S/E LLANO SANCHEZ 230 KV +120/-120 MVAR</t>
  </si>
  <si>
    <t>STATCOM S/E PANAMA II 230 KV +120/-120 MVAR</t>
  </si>
  <si>
    <t>ADICION BANCO CAPACITORES 60 MVAR PANAMA II 230 KV</t>
  </si>
  <si>
    <t>ADICION BANCO CAPACITORES 90 MVAR CHORRERA 230 KV</t>
  </si>
  <si>
    <t>SEGUNDA LINEA SUBTERRANEA PANAMA - CACERES 115 KV (desagregada en plan)</t>
  </si>
  <si>
    <t>LINEA PANAMA III - SABANITAS DOBLE CIRCUITO 230 KV</t>
  </si>
  <si>
    <t>SUBESTACIÓN PANAMA III 230 KV</t>
  </si>
  <si>
    <t>SUBESTACION SABANITAS 230 KV</t>
  </si>
  <si>
    <t>Por Licitar</t>
  </si>
  <si>
    <t>LT DOBLE CTO. M. NANCE - BOQ - PROGRESO - FRONT 230 KV</t>
  </si>
  <si>
    <t>LÍNEA TELFERS - SABANITAS 230 KV</t>
  </si>
  <si>
    <t>NUEVA LÍNEA PANAMÁ II - BAYANO 230 KV DOBLE CTO. 1200 ACAR.</t>
  </si>
  <si>
    <t>NUEVA SUBESTACIÓN CHEPO 230 KV</t>
  </si>
  <si>
    <t>ADICION S/E SABANITAS 230 KV Y NUEVA S/E STA. RITA 230 KV</t>
  </si>
  <si>
    <t>NUEVA S/E PROGRESO II 230/34.5 KV</t>
  </si>
  <si>
    <t>NUEVA S/E CACERES 115 KV GIS</t>
  </si>
  <si>
    <t>AUMENTO DE CAPACIDAD LT2 VELADERO - PANAMÁ II 230 KV 305 KM</t>
  </si>
  <si>
    <t>NUEVA S/E CALDERA 230/115/34.5 KV</t>
  </si>
  <si>
    <t>LABORATORIO DE PRUEBAS Y MEDICIONES</t>
  </si>
  <si>
    <t>REEMPLAZO TT2 S/E CHORRERA (ATERRIZAJE)</t>
  </si>
  <si>
    <t>REEMPLAZO T2 S/E CHORRERA</t>
  </si>
  <si>
    <t xml:space="preserve">REMP. T1 S/E LL. SÁNCHEZ </t>
  </si>
  <si>
    <t>Reemplazo de interruptores de la sub estación Progreso</t>
  </si>
  <si>
    <t>INST. SIST. DETECCIÓN Y SUPRESIÓN DE INCENDIOS EN CASAS CONTROL  DE S/Es</t>
  </si>
  <si>
    <t>31/12/2022</t>
  </si>
  <si>
    <t>SISTEMA DE VIDEO VIGILANCIA DE SUBESTACIONES</t>
  </si>
  <si>
    <t>31/12/2024</t>
  </si>
  <si>
    <t>CERCAS PERIMETRALES PARA SUBESTACIONES</t>
  </si>
  <si>
    <t>EDIFICIO DOM EN PANAMA III</t>
  </si>
  <si>
    <t>ADICION TRANSFORMADOR DE TIERRA S/E SAN BARTOLO 34.5 KV</t>
  </si>
  <si>
    <t>Sistema Principal de Transmisión asignado a Demanda</t>
  </si>
  <si>
    <t>Sistema Principal de Transmisión GyD</t>
  </si>
  <si>
    <t>Para Patios de 230/115/34</t>
  </si>
  <si>
    <t>Ingreso permitido por Año tarifario de IMP según Res. 17825</t>
  </si>
  <si>
    <t>Ingreso permitido por Año Tarifario de IMP según Res. An No. 17825</t>
  </si>
  <si>
    <t>Activos existentes asignados a Generación y Demanda</t>
  </si>
  <si>
    <t>Activos existentes asignados 100% a la Demanda</t>
  </si>
  <si>
    <t>SISTEMA PRINCIPAL Asignado a G y D - IPSPEGyD. EXISTENTE</t>
  </si>
  <si>
    <t>SISTEMA PRINCIPAL Asignado a D - IPSPED. EXISTENTE</t>
  </si>
  <si>
    <t>SERVICIO DE OPERACIÓN INTEGRADA - Centro Nacional de Despacho</t>
  </si>
  <si>
    <t>SERVICIO DE OPERACIÓN INTEGRADA- Centro Nacional de Despacho</t>
  </si>
  <si>
    <t xml:space="preserve">CXL 230 KV Circuito Doble ACCC </t>
  </si>
  <si>
    <t>230-54 y 230-55 es la parte aérea desde Torre 4 hasta patio de mufas 2</t>
  </si>
  <si>
    <t>CXL 230 KV Circuito Doble ACCC 1026 DRAKE/TW</t>
  </si>
  <si>
    <t>CXL 230 KV Circuito Doble ACCC 1026</t>
  </si>
  <si>
    <t xml:space="preserve">230-54 </t>
  </si>
  <si>
    <t xml:space="preserve">230-55 </t>
  </si>
  <si>
    <t>Torre 4 hasta patio de mufas 2</t>
  </si>
  <si>
    <t>LA ESPERANZA</t>
  </si>
  <si>
    <t>BELLA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</si>
</sst>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.00"/>
    <numFmt numFmtId="167" formatCode="0.0%"/>
    <numFmt numFmtId="168" formatCode="_-[$€-2]* #,##0.00_-;\-[$€-2]* #,##0.00_-;_-[$€-2]* &quot;-&quot;??_-"/>
    <numFmt numFmtId="169" formatCode="_-* #,##0.0_-;\-* #,##0.0_-;_-* &quot;-&quot;??_-;_-@_-"/>
    <numFmt numFmtId="170" formatCode="_-* #,##0_-;\-* #,##0_-;_-* &quot;-&quot;??_-;_-@_-"/>
    <numFmt numFmtId="171" formatCode="_(* #,##0_);_(* \(#,##0\);_(* &quot;-&quot;??_);_(@_)"/>
    <numFmt numFmtId="172" formatCode="0.000"/>
    <numFmt numFmtId="173" formatCode="0.000000000"/>
    <numFmt numFmtId="174" formatCode="0.0000"/>
    <numFmt numFmtId="175" formatCode="_-* #,##0.0000_-;\-* #,##0.0000_-;_-* &quot;-&quot;??_-;_-@_-"/>
    <numFmt numFmtId="176" formatCode="#,##0.000_);\(#,##0.000\)"/>
    <numFmt numFmtId="177" formatCode="0_ ;\-0\ "/>
    <numFmt numFmtId="178" formatCode="#,##0_ ;\-#,##0\ "/>
    <numFmt numFmtId="179" formatCode="_-* #,##0.000_-;\-* #,##0.000_-;_-* &quot;-&quot;??_-;_-@_-"/>
    <numFmt numFmtId="180" formatCode="0.000%"/>
    <numFmt numFmtId="181" formatCode="_-* #,##0.00000_-;\-* #,##0.00000_-;_-* &quot;-&quot;??_-;_-@_-"/>
    <numFmt numFmtId="182" formatCode="#,##0.00000000"/>
    <numFmt numFmtId="183" formatCode="0.00000"/>
    <numFmt numFmtId="184" formatCode="_(* #,##0.000_);_(* \(#,##0.000\);_(* &quot;-&quot;??_);_(@_)"/>
    <numFmt numFmtId="185" formatCode="#,##0.0"/>
    <numFmt numFmtId="186" formatCode="_(* #,##0.0000_);_(* \(#,##0.0000\);_(* &quot;-&quot;??_);_(@_)"/>
    <numFmt numFmtId="187" formatCode="_(* #,##0.00000_);_(* \(#,##0.00000\);_(* &quot;-&quot;??_);_(@_)"/>
    <numFmt numFmtId="188" formatCode="0.0"/>
    <numFmt numFmtId="189" formatCode="#.0\ &quot;x&quot;"/>
    <numFmt numFmtId="190" formatCode="0.00_)"/>
    <numFmt numFmtId="191" formatCode="#,##0.00_ ;[Red]\-#,##0.00\ "/>
    <numFmt numFmtId="192" formatCode="#,##0.00;[Red]#,##0.00"/>
    <numFmt numFmtId="193" formatCode="[$B/.-180A]\ #,##0.00_ ;[Red]\-[$B/.-180A]\ #,##0.00\ "/>
    <numFmt numFmtId="194" formatCode="[$B/.-180A]\ #,##0.00_);[Red]\([$B/.-180A]\ #,##0.00\)"/>
    <numFmt numFmtId="195" formatCode="#,##0.0000"/>
    <numFmt numFmtId="196" formatCode="d/m/yy;@"/>
    <numFmt numFmtId="197" formatCode="_-* #,##0.000000_-;\-* #,##0.000000_-;_-* &quot;-&quot;??_-;_-@_-"/>
    <numFmt numFmtId="198" formatCode="_-* #,##0.0000000_-;\-* #,##0.0000000_-;_-* &quot;-&quot;??_-;_-@_-"/>
  </numFmts>
  <fonts count="1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2"/>
      <color indexed="12"/>
      <name val="Arial"/>
      <family val="2"/>
    </font>
    <font>
      <b/>
      <sz val="10"/>
      <color theme="5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 val="double"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theme="5"/>
      <name val="Arial"/>
      <family val="2"/>
    </font>
    <font>
      <b/>
      <sz val="11"/>
      <color theme="6" tint="-0.499984740745262"/>
      <name val="Calibri"/>
      <family val="2"/>
      <scheme val="minor"/>
    </font>
    <font>
      <b/>
      <sz val="10"/>
      <color theme="9" tint="-0.249977111117893"/>
      <name val="Arial"/>
      <family val="2"/>
    </font>
    <font>
      <b/>
      <vertAlign val="superscript"/>
      <sz val="8.5"/>
      <color theme="0"/>
      <name val="Calibri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ourier New"/>
      <family val="3"/>
    </font>
    <font>
      <sz val="11"/>
      <color rgb="FF00B0F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B0F0"/>
      <name val="Arial"/>
      <family val="2"/>
    </font>
    <font>
      <sz val="10"/>
      <name val="Arial"/>
    </font>
    <font>
      <sz val="8"/>
      <name val="Arial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6"/>
      <color rgb="FF00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5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3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168" fontId="10" fillId="0" borderId="0" applyFont="0" applyFill="0" applyBorder="0" applyAlignment="0" applyProtection="0"/>
    <xf numFmtId="166" fontId="13" fillId="0" borderId="0">
      <protection locked="0"/>
    </xf>
    <xf numFmtId="166" fontId="13" fillId="0" borderId="0">
      <protection locked="0"/>
    </xf>
    <xf numFmtId="166" fontId="14" fillId="0" borderId="0">
      <protection locked="0"/>
    </xf>
    <xf numFmtId="166" fontId="13" fillId="0" borderId="0">
      <protection locked="0"/>
    </xf>
    <xf numFmtId="166" fontId="13" fillId="0" borderId="0">
      <protection locked="0"/>
    </xf>
    <xf numFmtId="166" fontId="13" fillId="0" borderId="0">
      <protection locked="0"/>
    </xf>
    <xf numFmtId="166" fontId="14" fillId="0" borderId="0">
      <protection locked="0"/>
    </xf>
    <xf numFmtId="0" fontId="32" fillId="3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24" fillId="0" borderId="0"/>
    <xf numFmtId="0" fontId="10" fillId="0" borderId="0"/>
    <xf numFmtId="0" fontId="10" fillId="23" borderId="4" applyNumberFormat="0" applyFont="0" applyAlignment="0" applyProtection="0"/>
    <xf numFmtId="40" fontId="34" fillId="24" borderId="0">
      <alignment horizontal="right"/>
    </xf>
    <xf numFmtId="0" fontId="35" fillId="24" borderId="0">
      <alignment horizontal="right"/>
    </xf>
    <xf numFmtId="0" fontId="36" fillId="24" borderId="5"/>
    <xf numFmtId="0" fontId="36" fillId="0" borderId="0" applyBorder="0">
      <alignment horizontal="centerContinuous"/>
    </xf>
    <xf numFmtId="0" fontId="37" fillId="0" borderId="0" applyBorder="0">
      <alignment horizontal="centerContinuous"/>
    </xf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0" fillId="0" borderId="9" applyNumberFormat="0" applyFill="0" applyAlignment="0" applyProtection="0"/>
    <xf numFmtId="0" fontId="44" fillId="0" borderId="10" applyNumberFormat="0" applyFill="0" applyAlignment="0" applyProtection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0" fontId="10" fillId="23" borderId="4" applyNumberFormat="0" applyFont="0" applyAlignment="0" applyProtection="0"/>
    <xf numFmtId="9" fontId="9" fillId="0" borderId="0" applyFont="0" applyFill="0" applyBorder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3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4" fillId="0" borderId="0"/>
  </cellStyleXfs>
  <cellXfs count="1729">
    <xf numFmtId="0" fontId="0" fillId="0" borderId="0" xfId="0"/>
    <xf numFmtId="0" fontId="0" fillId="0" borderId="0" xfId="0" applyProtection="1">
      <protection locked="0"/>
    </xf>
    <xf numFmtId="0" fontId="11" fillId="0" borderId="16" xfId="0" applyFont="1" applyBorder="1" applyProtection="1"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8" fillId="0" borderId="19" xfId="0" applyFont="1" applyBorder="1" applyAlignment="1" applyProtection="1">
      <alignment horizontal="center"/>
      <protection locked="0"/>
    </xf>
    <xf numFmtId="10" fontId="15" fillId="0" borderId="20" xfId="57" applyNumberFormat="1" applyFont="1" applyBorder="1" applyProtection="1">
      <protection locked="0"/>
    </xf>
    <xf numFmtId="10" fontId="15" fillId="0" borderId="21" xfId="57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4" fontId="0" fillId="0" borderId="0" xfId="0" applyNumberFormat="1" applyProtection="1">
      <protection locked="0"/>
    </xf>
    <xf numFmtId="164" fontId="10" fillId="0" borderId="0" xfId="44" applyProtection="1">
      <protection locked="0"/>
    </xf>
    <xf numFmtId="10" fontId="15" fillId="24" borderId="24" xfId="57" applyNumberFormat="1" applyFont="1" applyFill="1" applyBorder="1" applyAlignment="1" applyProtection="1">
      <alignment horizontal="center"/>
      <protection locked="0"/>
    </xf>
    <xf numFmtId="10" fontId="15" fillId="24" borderId="25" xfId="57" applyNumberFormat="1" applyFont="1" applyFill="1" applyBorder="1" applyAlignment="1" applyProtection="1">
      <alignment horizontal="center"/>
      <protection locked="0"/>
    </xf>
    <xf numFmtId="10" fontId="15" fillId="24" borderId="19" xfId="57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/>
    <xf numFmtId="10" fontId="20" fillId="25" borderId="19" xfId="0" quotePrefix="1" applyNumberFormat="1" applyFont="1" applyFill="1" applyBorder="1" applyProtection="1">
      <protection locked="0"/>
    </xf>
    <xf numFmtId="4" fontId="19" fillId="0" borderId="0" xfId="0" applyNumberFormat="1" applyFont="1"/>
    <xf numFmtId="0" fontId="0" fillId="0" borderId="11" xfId="0" applyBorder="1"/>
    <xf numFmtId="10" fontId="20" fillId="25" borderId="35" xfId="57" applyNumberFormat="1" applyFont="1" applyFill="1" applyBorder="1" applyAlignment="1" applyProtection="1">
      <protection locked="0"/>
    </xf>
    <xf numFmtId="164" fontId="10" fillId="0" borderId="38" xfId="44" applyFill="1" applyBorder="1"/>
    <xf numFmtId="0" fontId="15" fillId="0" borderId="0" xfId="0" applyFont="1"/>
    <xf numFmtId="0" fontId="0" fillId="0" borderId="12" xfId="0" applyBorder="1"/>
    <xf numFmtId="0" fontId="0" fillId="0" borderId="23" xfId="0" applyBorder="1"/>
    <xf numFmtId="0" fontId="0" fillId="0" borderId="26" xfId="0" applyBorder="1"/>
    <xf numFmtId="0" fontId="0" fillId="0" borderId="13" xfId="0" applyBorder="1"/>
    <xf numFmtId="43" fontId="0" fillId="0" borderId="0" xfId="0" applyNumberForma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1" fontId="16" fillId="0" borderId="0" xfId="45" applyNumberFormat="1" applyFont="1" applyFill="1"/>
    <xf numFmtId="0" fontId="11" fillId="0" borderId="0" xfId="0" applyFont="1"/>
    <xf numFmtId="164" fontId="0" fillId="0" borderId="0" xfId="0" applyNumberFormat="1"/>
    <xf numFmtId="0" fontId="15" fillId="0" borderId="49" xfId="0" applyFont="1" applyBorder="1"/>
    <xf numFmtId="0" fontId="15" fillId="0" borderId="50" xfId="0" applyFont="1" applyBorder="1" applyAlignment="1">
      <alignment horizontal="center"/>
    </xf>
    <xf numFmtId="43" fontId="15" fillId="0" borderId="52" xfId="0" applyNumberFormat="1" applyFont="1" applyBorder="1"/>
    <xf numFmtId="43" fontId="15" fillId="0" borderId="0" xfId="0" applyNumberFormat="1" applyFont="1"/>
    <xf numFmtId="0" fontId="15" fillId="0" borderId="54" xfId="0" applyFont="1" applyBorder="1"/>
    <xf numFmtId="0" fontId="15" fillId="0" borderId="55" xfId="0" applyFont="1" applyBorder="1"/>
    <xf numFmtId="0" fontId="15" fillId="0" borderId="56" xfId="0" applyFont="1" applyBorder="1"/>
    <xf numFmtId="43" fontId="15" fillId="0" borderId="0" xfId="40" applyFont="1" applyFill="1" applyBorder="1"/>
    <xf numFmtId="43" fontId="15" fillId="0" borderId="0" xfId="40" applyFont="1" applyFill="1"/>
    <xf numFmtId="170" fontId="0" fillId="0" borderId="0" xfId="0" applyNumberFormat="1"/>
    <xf numFmtId="0" fontId="23" fillId="0" borderId="0" xfId="0" applyFont="1" applyAlignment="1">
      <alignment horizontal="center"/>
    </xf>
    <xf numFmtId="0" fontId="15" fillId="0" borderId="57" xfId="0" applyFont="1" applyBorder="1"/>
    <xf numFmtId="0" fontId="15" fillId="0" borderId="58" xfId="0" applyFont="1" applyBorder="1"/>
    <xf numFmtId="0" fontId="15" fillId="0" borderId="59" xfId="0" applyFont="1" applyBorder="1"/>
    <xf numFmtId="170" fontId="15" fillId="0" borderId="54" xfId="40" applyNumberFormat="1" applyFont="1" applyFill="1" applyBorder="1"/>
    <xf numFmtId="43" fontId="15" fillId="0" borderId="54" xfId="40" applyFont="1" applyFill="1" applyBorder="1"/>
    <xf numFmtId="43" fontId="15" fillId="0" borderId="56" xfId="40" applyFont="1" applyFill="1" applyBorder="1"/>
    <xf numFmtId="170" fontId="15" fillId="0" borderId="60" xfId="40" applyNumberFormat="1" applyFont="1" applyFill="1" applyBorder="1"/>
    <xf numFmtId="170" fontId="15" fillId="0" borderId="62" xfId="40" applyNumberFormat="1" applyFont="1" applyFill="1" applyBorder="1"/>
    <xf numFmtId="43" fontId="15" fillId="0" borderId="57" xfId="40" applyFont="1" applyFill="1" applyBorder="1"/>
    <xf numFmtId="43" fontId="15" fillId="0" borderId="55" xfId="40" applyFont="1" applyFill="1" applyBorder="1"/>
    <xf numFmtId="170" fontId="15" fillId="0" borderId="61" xfId="40" applyNumberFormat="1" applyFont="1" applyFill="1" applyBorder="1"/>
    <xf numFmtId="164" fontId="12" fillId="0" borderId="0" xfId="44" applyFont="1" applyFill="1" applyBorder="1" applyAlignment="1">
      <alignment horizontal="center" vertical="center" wrapText="1"/>
    </xf>
    <xf numFmtId="170" fontId="15" fillId="0" borderId="55" xfId="40" applyNumberFormat="1" applyFont="1" applyFill="1" applyBorder="1"/>
    <xf numFmtId="164" fontId="10" fillId="0" borderId="38" xfId="44" applyFont="1" applyFill="1" applyBorder="1"/>
    <xf numFmtId="0" fontId="0" fillId="0" borderId="63" xfId="0" applyBorder="1"/>
    <xf numFmtId="0" fontId="0" fillId="0" borderId="62" xfId="0" applyBorder="1"/>
    <xf numFmtId="164" fontId="10" fillId="0" borderId="62" xfId="44" applyFill="1" applyBorder="1"/>
    <xf numFmtId="164" fontId="15" fillId="0" borderId="62" xfId="44" applyFont="1" applyFill="1" applyBorder="1"/>
    <xf numFmtId="39" fontId="12" fillId="0" borderId="0" xfId="0" applyNumberFormat="1" applyFont="1"/>
    <xf numFmtId="170" fontId="15" fillId="0" borderId="56" xfId="40" applyNumberFormat="1" applyFont="1" applyFill="1" applyBorder="1"/>
    <xf numFmtId="3" fontId="15" fillId="0" borderId="0" xfId="0" applyNumberFormat="1" applyFont="1"/>
    <xf numFmtId="0" fontId="15" fillId="0" borderId="64" xfId="0" applyFont="1" applyBorder="1"/>
    <xf numFmtId="170" fontId="15" fillId="0" borderId="63" xfId="40" applyNumberFormat="1" applyFont="1" applyFill="1" applyBorder="1"/>
    <xf numFmtId="170" fontId="15" fillId="0" borderId="0" xfId="40" applyNumberFormat="1" applyFont="1" applyFill="1" applyBorder="1"/>
    <xf numFmtId="170" fontId="0" fillId="0" borderId="0" xfId="40" applyNumberFormat="1" applyFont="1" applyBorder="1"/>
    <xf numFmtId="0" fontId="11" fillId="0" borderId="13" xfId="0" applyFont="1" applyBorder="1" applyAlignment="1">
      <alignment horizontal="center" vertical="center" wrapText="1"/>
    </xf>
    <xf numFmtId="43" fontId="11" fillId="0" borderId="0" xfId="40" applyFont="1" applyFill="1" applyBorder="1"/>
    <xf numFmtId="164" fontId="11" fillId="0" borderId="68" xfId="44" applyFont="1" applyFill="1" applyBorder="1" applyAlignment="1">
      <alignment horizontal="left"/>
    </xf>
    <xf numFmtId="4" fontId="45" fillId="0" borderId="0" xfId="0" applyNumberFormat="1" applyFont="1"/>
    <xf numFmtId="4" fontId="15" fillId="0" borderId="0" xfId="0" applyNumberFormat="1" applyFont="1"/>
    <xf numFmtId="0" fontId="49" fillId="0" borderId="32" xfId="0" applyFont="1" applyBorder="1"/>
    <xf numFmtId="0" fontId="49" fillId="0" borderId="0" xfId="0" applyFont="1"/>
    <xf numFmtId="164" fontId="11" fillId="0" borderId="63" xfId="44" applyFont="1" applyFill="1" applyBorder="1" applyAlignment="1">
      <alignment horizontal="left"/>
    </xf>
    <xf numFmtId="0" fontId="0" fillId="0" borderId="68" xfId="0" applyBorder="1"/>
    <xf numFmtId="164" fontId="47" fillId="26" borderId="19" xfId="44" applyFont="1" applyFill="1" applyBorder="1" applyAlignment="1">
      <alignment horizontal="center"/>
    </xf>
    <xf numFmtId="49" fontId="46" fillId="26" borderId="19" xfId="0" applyNumberFormat="1" applyFont="1" applyFill="1" applyBorder="1" applyAlignment="1">
      <alignment horizontal="center"/>
    </xf>
    <xf numFmtId="164" fontId="50" fillId="26" borderId="19" xfId="44" applyFont="1" applyFill="1" applyBorder="1" applyAlignment="1">
      <alignment horizontal="left"/>
    </xf>
    <xf numFmtId="164" fontId="10" fillId="0" borderId="84" xfId="44" applyFill="1" applyBorder="1"/>
    <xf numFmtId="164" fontId="15" fillId="0" borderId="85" xfId="44" applyFont="1" applyFill="1" applyBorder="1"/>
    <xf numFmtId="0" fontId="11" fillId="0" borderId="86" xfId="0" applyFont="1" applyBorder="1"/>
    <xf numFmtId="0" fontId="0" fillId="0" borderId="87" xfId="0" applyBorder="1"/>
    <xf numFmtId="0" fontId="0" fillId="0" borderId="88" xfId="0" applyBorder="1"/>
    <xf numFmtId="164" fontId="10" fillId="0" borderId="65" xfId="44" applyFill="1" applyBorder="1"/>
    <xf numFmtId="4" fontId="0" fillId="0" borderId="88" xfId="0" applyNumberFormat="1" applyBorder="1"/>
    <xf numFmtId="164" fontId="10" fillId="0" borderId="89" xfId="44" applyFill="1" applyBorder="1"/>
    <xf numFmtId="164" fontId="10" fillId="0" borderId="73" xfId="44" applyFill="1" applyBorder="1"/>
    <xf numFmtId="164" fontId="15" fillId="0" borderId="91" xfId="44" applyFont="1" applyFill="1" applyBorder="1"/>
    <xf numFmtId="164" fontId="10" fillId="0" borderId="92" xfId="44" applyFill="1" applyBorder="1"/>
    <xf numFmtId="164" fontId="11" fillId="0" borderId="86" xfId="44" applyFont="1" applyFill="1" applyBorder="1" applyAlignment="1">
      <alignment horizontal="center"/>
    </xf>
    <xf numFmtId="164" fontId="15" fillId="0" borderId="88" xfId="44" applyFont="1" applyFill="1" applyBorder="1"/>
    <xf numFmtId="0" fontId="15" fillId="0" borderId="38" xfId="0" applyFont="1" applyBorder="1"/>
    <xf numFmtId="43" fontId="15" fillId="0" borderId="65" xfId="40" applyFont="1" applyFill="1" applyBorder="1"/>
    <xf numFmtId="43" fontId="15" fillId="0" borderId="65" xfId="40" applyFont="1" applyFill="1" applyBorder="1" applyAlignment="1">
      <alignment horizontal="right"/>
    </xf>
    <xf numFmtId="2" fontId="15" fillId="0" borderId="88" xfId="44" applyNumberFormat="1" applyFont="1" applyFill="1" applyBorder="1"/>
    <xf numFmtId="0" fontId="15" fillId="0" borderId="84" xfId="0" applyFont="1" applyBorder="1"/>
    <xf numFmtId="164" fontId="15" fillId="0" borderId="93" xfId="44" applyFont="1" applyFill="1" applyBorder="1"/>
    <xf numFmtId="164" fontId="15" fillId="0" borderId="90" xfId="44" applyFont="1" applyFill="1" applyBorder="1"/>
    <xf numFmtId="0" fontId="15" fillId="0" borderId="73" xfId="0" applyFont="1" applyBorder="1"/>
    <xf numFmtId="43" fontId="15" fillId="0" borderId="73" xfId="40" applyFont="1" applyFill="1" applyBorder="1" applyAlignment="1">
      <alignment horizontal="right"/>
    </xf>
    <xf numFmtId="0" fontId="45" fillId="0" borderId="62" xfId="0" applyFont="1" applyBorder="1" applyAlignment="1">
      <alignment horizontal="center"/>
    </xf>
    <xf numFmtId="2" fontId="45" fillId="0" borderId="62" xfId="0" applyNumberFormat="1" applyFont="1" applyBorder="1" applyAlignment="1">
      <alignment horizontal="center"/>
    </xf>
    <xf numFmtId="43" fontId="11" fillId="24" borderId="86" xfId="40" applyFont="1" applyFill="1" applyBorder="1"/>
    <xf numFmtId="170" fontId="0" fillId="0" borderId="0" xfId="40" applyNumberFormat="1" applyFont="1" applyBorder="1" applyAlignment="1">
      <alignment horizontal="right"/>
    </xf>
    <xf numFmtId="0" fontId="15" fillId="0" borderId="63" xfId="0" applyFont="1" applyBorder="1"/>
    <xf numFmtId="39" fontId="12" fillId="0" borderId="0" xfId="0" applyNumberFormat="1" applyFont="1" applyAlignment="1">
      <alignment horizontal="right"/>
    </xf>
    <xf numFmtId="43" fontId="16" fillId="0" borderId="0" xfId="0" applyNumberFormat="1" applyFont="1"/>
    <xf numFmtId="43" fontId="15" fillId="0" borderId="38" xfId="0" applyNumberFormat="1" applyFont="1" applyBorder="1"/>
    <xf numFmtId="43" fontId="51" fillId="0" borderId="38" xfId="40" applyFont="1" applyFill="1" applyBorder="1"/>
    <xf numFmtId="170" fontId="15" fillId="0" borderId="0" xfId="0" applyNumberFormat="1" applyFont="1"/>
    <xf numFmtId="0" fontId="15" fillId="0" borderId="0" xfId="50" applyFont="1" applyAlignment="1">
      <alignment horizontal="left"/>
    </xf>
    <xf numFmtId="170" fontId="15" fillId="0" borderId="0" xfId="0" applyNumberFormat="1" applyFont="1" applyAlignment="1">
      <alignment vertical="center"/>
    </xf>
    <xf numFmtId="0" fontId="15" fillId="0" borderId="0" xfId="50" applyFont="1"/>
    <xf numFmtId="170" fontId="11" fillId="0" borderId="0" xfId="0" applyNumberFormat="1" applyFont="1"/>
    <xf numFmtId="170" fontId="11" fillId="0" borderId="0" xfId="0" applyNumberFormat="1" applyFont="1" applyAlignment="1">
      <alignment horizontal="center" vertical="center" wrapText="1"/>
    </xf>
    <xf numFmtId="0" fontId="55" fillId="0" borderId="0" xfId="0" applyFont="1"/>
    <xf numFmtId="4" fontId="56" fillId="0" borderId="0" xfId="0" applyNumberFormat="1" applyFont="1"/>
    <xf numFmtId="43" fontId="15" fillId="0" borderId="80" xfId="40" applyFont="1" applyFill="1" applyBorder="1"/>
    <xf numFmtId="43" fontId="15" fillId="0" borderId="59" xfId="40" applyFont="1" applyFill="1" applyBorder="1"/>
    <xf numFmtId="43" fontId="15" fillId="0" borderId="58" xfId="40" applyFont="1" applyFill="1" applyBorder="1"/>
    <xf numFmtId="164" fontId="10" fillId="0" borderId="85" xfId="44" applyFill="1" applyBorder="1"/>
    <xf numFmtId="10" fontId="47" fillId="26" borderId="19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9" fillId="0" borderId="0" xfId="0" applyFont="1"/>
    <xf numFmtId="0" fontId="22" fillId="0" borderId="0" xfId="0" applyFont="1"/>
    <xf numFmtId="43" fontId="22" fillId="0" borderId="51" xfId="40" applyFont="1" applyFill="1" applyBorder="1" applyAlignment="1">
      <alignment horizontal="left"/>
    </xf>
    <xf numFmtId="0" fontId="22" fillId="0" borderId="38" xfId="0" applyFont="1" applyBorder="1" applyAlignment="1">
      <alignment horizontal="center"/>
    </xf>
    <xf numFmtId="41" fontId="21" fillId="0" borderId="50" xfId="41" applyFont="1" applyFill="1" applyBorder="1" applyAlignment="1">
      <alignment horizontal="center"/>
    </xf>
    <xf numFmtId="43" fontId="22" fillId="0" borderId="38" xfId="40" applyFont="1" applyFill="1" applyBorder="1" applyAlignment="1">
      <alignment horizontal="left"/>
    </xf>
    <xf numFmtId="43" fontId="22" fillId="0" borderId="0" xfId="40" applyFont="1" applyFill="1" applyBorder="1" applyAlignment="1">
      <alignment horizontal="left"/>
    </xf>
    <xf numFmtId="0" fontId="22" fillId="0" borderId="68" xfId="0" applyFont="1" applyBorder="1" applyAlignment="1">
      <alignment horizontal="center"/>
    </xf>
    <xf numFmtId="43" fontId="22" fillId="0" borderId="66" xfId="40" applyFont="1" applyFill="1" applyBorder="1" applyAlignment="1">
      <alignment horizontal="left"/>
    </xf>
    <xf numFmtId="2" fontId="22" fillId="0" borderId="68" xfId="0" applyNumberFormat="1" applyFont="1" applyBorder="1" applyAlignment="1">
      <alignment horizontal="center"/>
    </xf>
    <xf numFmtId="2" fontId="21" fillId="0" borderId="102" xfId="0" applyNumberFormat="1" applyFont="1" applyBorder="1" applyAlignment="1">
      <alignment horizontal="center"/>
    </xf>
    <xf numFmtId="43" fontId="22" fillId="0" borderId="67" xfId="40" applyFont="1" applyFill="1" applyBorder="1" applyAlignment="1">
      <alignment horizontal="left"/>
    </xf>
    <xf numFmtId="0" fontId="22" fillId="0" borderId="100" xfId="0" applyFont="1" applyBorder="1" applyAlignment="1">
      <alignment horizontal="center"/>
    </xf>
    <xf numFmtId="1" fontId="22" fillId="0" borderId="104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3" fontId="21" fillId="0" borderId="0" xfId="40" applyFont="1" applyFill="1" applyBorder="1"/>
    <xf numFmtId="43" fontId="22" fillId="0" borderId="0" xfId="40" applyFont="1" applyFill="1" applyBorder="1"/>
    <xf numFmtId="0" fontId="22" fillId="0" borderId="0" xfId="0" applyFont="1" applyAlignment="1">
      <alignment horizontal="center"/>
    </xf>
    <xf numFmtId="43" fontId="22" fillId="0" borderId="0" xfId="0" applyNumberFormat="1" applyFont="1"/>
    <xf numFmtId="0" fontId="22" fillId="0" borderId="0" xfId="0" applyFont="1" applyAlignment="1">
      <alignment horizontal="right"/>
    </xf>
    <xf numFmtId="0" fontId="15" fillId="0" borderId="105" xfId="0" applyFont="1" applyBorder="1"/>
    <xf numFmtId="170" fontId="15" fillId="0" borderId="105" xfId="40" applyNumberFormat="1" applyFont="1" applyFill="1" applyBorder="1"/>
    <xf numFmtId="0" fontId="15" fillId="0" borderId="106" xfId="0" applyFont="1" applyBorder="1"/>
    <xf numFmtId="0" fontId="15" fillId="0" borderId="0" xfId="0" applyFont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171" fontId="16" fillId="0" borderId="0" xfId="45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81" xfId="0" applyBorder="1"/>
    <xf numFmtId="170" fontId="11" fillId="0" borderId="82" xfId="0" applyNumberFormat="1" applyFont="1" applyBorder="1" applyAlignment="1">
      <alignment horizontal="center"/>
    </xf>
    <xf numFmtId="170" fontId="0" fillId="0" borderId="83" xfId="0" applyNumberFormat="1" applyBorder="1"/>
    <xf numFmtId="0" fontId="0" fillId="0" borderId="11" xfId="0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 wrapText="1"/>
    </xf>
    <xf numFmtId="170" fontId="0" fillId="0" borderId="26" xfId="0" applyNumberFormat="1" applyBorder="1" applyAlignment="1">
      <alignment horizontal="center" vertical="center" wrapText="1"/>
    </xf>
    <xf numFmtId="170" fontId="0" fillId="0" borderId="47" xfId="0" applyNumberFormat="1" applyBorder="1" applyAlignment="1">
      <alignment horizontal="center" vertical="center" wrapText="1"/>
    </xf>
    <xf numFmtId="170" fontId="0" fillId="0" borderId="109" xfId="0" applyNumberFormat="1" applyBorder="1" applyAlignment="1">
      <alignment horizontal="center" vertical="center" wrapText="1"/>
    </xf>
    <xf numFmtId="170" fontId="15" fillId="0" borderId="102" xfId="46" applyNumberFormat="1" applyFont="1" applyFill="1" applyBorder="1" applyAlignment="1">
      <alignment horizontal="center" vertical="center" wrapText="1"/>
    </xf>
    <xf numFmtId="170" fontId="15" fillId="0" borderId="54" xfId="46" applyNumberFormat="1" applyFill="1" applyBorder="1" applyAlignment="1">
      <alignment horizontal="center" vertical="center" wrapText="1"/>
    </xf>
    <xf numFmtId="170" fontId="0" fillId="0" borderId="51" xfId="0" applyNumberFormat="1" applyBorder="1" applyAlignment="1">
      <alignment horizontal="center" vertical="center" wrapText="1"/>
    </xf>
    <xf numFmtId="170" fontId="0" fillId="0" borderId="88" xfId="0" applyNumberFormat="1" applyBorder="1" applyAlignment="1">
      <alignment horizontal="center" vertical="center" wrapText="1"/>
    </xf>
    <xf numFmtId="170" fontId="15" fillId="0" borderId="55" xfId="46" applyNumberFormat="1" applyFill="1" applyBorder="1" applyAlignment="1">
      <alignment horizontal="center" vertical="center" wrapText="1"/>
    </xf>
    <xf numFmtId="170" fontId="0" fillId="0" borderId="110" xfId="0" applyNumberFormat="1" applyBorder="1" applyAlignment="1">
      <alignment horizontal="center" vertical="center" wrapText="1"/>
    </xf>
    <xf numFmtId="170" fontId="0" fillId="0" borderId="93" xfId="0" applyNumberFormat="1" applyBorder="1" applyAlignment="1">
      <alignment horizontal="center" vertical="center" wrapText="1"/>
    </xf>
    <xf numFmtId="170" fontId="15" fillId="0" borderId="37" xfId="46" applyNumberFormat="1" applyFont="1" applyFill="1" applyBorder="1" applyAlignment="1">
      <alignment horizontal="center" vertical="center" wrapText="1"/>
    </xf>
    <xf numFmtId="170" fontId="15" fillId="0" borderId="105" xfId="46" applyNumberFormat="1" applyFill="1" applyBorder="1" applyAlignment="1">
      <alignment horizontal="center" vertical="center" wrapText="1"/>
    </xf>
    <xf numFmtId="43" fontId="15" fillId="0" borderId="64" xfId="40" applyFont="1" applyFill="1" applyBorder="1"/>
    <xf numFmtId="169" fontId="15" fillId="0" borderId="99" xfId="46" applyNumberFormat="1" applyFont="1" applyFill="1" applyBorder="1" applyAlignment="1">
      <alignment vertical="center" wrapText="1"/>
    </xf>
    <xf numFmtId="169" fontId="15" fillId="0" borderId="38" xfId="46" applyNumberFormat="1" applyFont="1" applyFill="1" applyBorder="1" applyAlignment="1">
      <alignment vertical="center" wrapText="1"/>
    </xf>
    <xf numFmtId="169" fontId="15" fillId="0" borderId="84" xfId="46" applyNumberFormat="1" applyFont="1" applyFill="1" applyBorder="1" applyAlignment="1">
      <alignment vertical="center" wrapText="1"/>
    </xf>
    <xf numFmtId="10" fontId="15" fillId="0" borderId="20" xfId="57" applyNumberFormat="1" applyFont="1" applyBorder="1" applyAlignment="1" applyProtection="1">
      <alignment horizontal="center"/>
      <protection locked="0"/>
    </xf>
    <xf numFmtId="175" fontId="47" fillId="26" borderId="19" xfId="40" applyNumberFormat="1" applyFont="1" applyFill="1" applyBorder="1" applyAlignment="1">
      <alignment horizontal="center"/>
    </xf>
    <xf numFmtId="164" fontId="15" fillId="0" borderId="38" xfId="44" applyFont="1" applyFill="1" applyBorder="1"/>
    <xf numFmtId="2" fontId="15" fillId="0" borderId="38" xfId="44" applyNumberFormat="1" applyFont="1" applyFill="1" applyBorder="1"/>
    <xf numFmtId="164" fontId="0" fillId="0" borderId="38" xfId="44" applyFont="1" applyFill="1" applyBorder="1"/>
    <xf numFmtId="0" fontId="15" fillId="0" borderId="93" xfId="0" applyFont="1" applyBorder="1"/>
    <xf numFmtId="164" fontId="45" fillId="29" borderId="19" xfId="44" applyFont="1" applyFill="1" applyBorder="1" applyAlignment="1">
      <alignment horizontal="right"/>
    </xf>
    <xf numFmtId="164" fontId="45" fillId="29" borderId="70" xfId="44" applyFont="1" applyFill="1" applyBorder="1" applyAlignment="1">
      <alignment horizontal="right"/>
    </xf>
    <xf numFmtId="0" fontId="12" fillId="0" borderId="14" xfId="0" applyFont="1" applyBorder="1"/>
    <xf numFmtId="0" fontId="45" fillId="29" borderId="14" xfId="0" applyFont="1" applyFill="1" applyBorder="1"/>
    <xf numFmtId="164" fontId="45" fillId="29" borderId="29" xfId="44" applyFont="1" applyFill="1" applyBorder="1" applyAlignment="1">
      <alignment horizontal="right"/>
    </xf>
    <xf numFmtId="43" fontId="45" fillId="29" borderId="14" xfId="0" applyNumberFormat="1" applyFont="1" applyFill="1" applyBorder="1"/>
    <xf numFmtId="43" fontId="45" fillId="29" borderId="14" xfId="40" applyFont="1" applyFill="1" applyBorder="1"/>
    <xf numFmtId="43" fontId="12" fillId="24" borderId="14" xfId="40" applyFont="1" applyFill="1" applyBorder="1"/>
    <xf numFmtId="4" fontId="45" fillId="29" borderId="14" xfId="0" applyNumberFormat="1" applyFont="1" applyFill="1" applyBorder="1"/>
    <xf numFmtId="43" fontId="45" fillId="29" borderId="29" xfId="40" applyFont="1" applyFill="1" applyBorder="1"/>
    <xf numFmtId="4" fontId="12" fillId="29" borderId="37" xfId="0" applyNumberFormat="1" applyFont="1" applyFill="1" applyBorder="1" applyAlignment="1">
      <alignment horizontal="center"/>
    </xf>
    <xf numFmtId="4" fontId="45" fillId="0" borderId="14" xfId="0" applyNumberFormat="1" applyFont="1" applyBorder="1" applyAlignment="1">
      <alignment horizontal="left" wrapText="1"/>
    </xf>
    <xf numFmtId="4" fontId="12" fillId="29" borderId="74" xfId="0" applyNumberFormat="1" applyFont="1" applyFill="1" applyBorder="1" applyAlignment="1">
      <alignment horizontal="center"/>
    </xf>
    <xf numFmtId="4" fontId="45" fillId="29" borderId="36" xfId="0" applyNumberFormat="1" applyFont="1" applyFill="1" applyBorder="1"/>
    <xf numFmtId="164" fontId="45" fillId="29" borderId="22" xfId="44" applyFont="1" applyFill="1" applyBorder="1" applyAlignment="1">
      <alignment horizontal="right"/>
    </xf>
    <xf numFmtId="4" fontId="12" fillId="29" borderId="104" xfId="0" applyNumberFormat="1" applyFont="1" applyFill="1" applyBorder="1" applyAlignment="1">
      <alignment horizontal="center"/>
    </xf>
    <xf numFmtId="43" fontId="17" fillId="0" borderId="0" xfId="40" applyFont="1" applyBorder="1"/>
    <xf numFmtId="170" fontId="58" fillId="28" borderId="107" xfId="0" applyNumberFormat="1" applyFont="1" applyFill="1" applyBorder="1" applyAlignment="1">
      <alignment horizontal="center" vertical="center" wrapText="1"/>
    </xf>
    <xf numFmtId="170" fontId="58" fillId="28" borderId="23" xfId="0" applyNumberFormat="1" applyFont="1" applyFill="1" applyBorder="1" applyAlignment="1">
      <alignment horizontal="center" vertical="center" wrapText="1"/>
    </xf>
    <xf numFmtId="170" fontId="58" fillId="28" borderId="108" xfId="0" applyNumberFormat="1" applyFont="1" applyFill="1" applyBorder="1" applyAlignment="1">
      <alignment horizontal="center" vertical="center" wrapText="1"/>
    </xf>
    <xf numFmtId="170" fontId="58" fillId="28" borderId="104" xfId="0" applyNumberFormat="1" applyFont="1" applyFill="1" applyBorder="1" applyAlignment="1">
      <alignment horizontal="center" vertical="center" wrapText="1"/>
    </xf>
    <xf numFmtId="0" fontId="57" fillId="28" borderId="81" xfId="0" applyFont="1" applyFill="1" applyBorder="1" applyAlignment="1">
      <alignment horizontal="center" vertical="center" wrapText="1"/>
    </xf>
    <xf numFmtId="170" fontId="57" fillId="28" borderId="82" xfId="0" applyNumberFormat="1" applyFont="1" applyFill="1" applyBorder="1" applyAlignment="1">
      <alignment horizontal="center" vertical="center" wrapText="1"/>
    </xf>
    <xf numFmtId="169" fontId="57" fillId="28" borderId="97" xfId="0" applyNumberFormat="1" applyFont="1" applyFill="1" applyBorder="1" applyAlignment="1">
      <alignment vertical="center" wrapText="1"/>
    </xf>
    <xf numFmtId="170" fontId="57" fillId="28" borderId="77" xfId="0" applyNumberFormat="1" applyFont="1" applyFill="1" applyBorder="1" applyAlignment="1">
      <alignment vertical="center" wrapText="1"/>
    </xf>
    <xf numFmtId="170" fontId="57" fillId="28" borderId="98" xfId="0" applyNumberFormat="1" applyFont="1" applyFill="1" applyBorder="1" applyAlignment="1">
      <alignment vertical="center" wrapText="1"/>
    </xf>
    <xf numFmtId="0" fontId="11" fillId="0" borderId="94" xfId="0" applyFont="1" applyBorder="1"/>
    <xf numFmtId="0" fontId="0" fillId="0" borderId="49" xfId="0" applyBorder="1"/>
    <xf numFmtId="43" fontId="0" fillId="0" borderId="49" xfId="40" applyFont="1" applyFill="1" applyBorder="1"/>
    <xf numFmtId="43" fontId="11" fillId="24" borderId="49" xfId="40" applyFont="1" applyFill="1" applyBorder="1"/>
    <xf numFmtId="4" fontId="0" fillId="0" borderId="49" xfId="0" applyNumberFormat="1" applyBorder="1"/>
    <xf numFmtId="4" fontId="15" fillId="0" borderId="49" xfId="0" applyNumberFormat="1" applyFont="1" applyBorder="1"/>
    <xf numFmtId="4" fontId="15" fillId="0" borderId="53" xfId="0" applyNumberFormat="1" applyFont="1" applyBorder="1"/>
    <xf numFmtId="0" fontId="61" fillId="28" borderId="15" xfId="0" applyFont="1" applyFill="1" applyBorder="1" applyAlignment="1">
      <alignment horizontal="center"/>
    </xf>
    <xf numFmtId="0" fontId="11" fillId="0" borderId="49" xfId="0" applyFont="1" applyBorder="1"/>
    <xf numFmtId="43" fontId="15" fillId="0" borderId="49" xfId="0" applyNumberFormat="1" applyFont="1" applyBorder="1"/>
    <xf numFmtId="2" fontId="45" fillId="0" borderId="61" xfId="0" applyNumberFormat="1" applyFont="1" applyBorder="1" applyAlignment="1">
      <alignment horizontal="center"/>
    </xf>
    <xf numFmtId="0" fontId="15" fillId="0" borderId="122" xfId="0" applyFont="1" applyBorder="1"/>
    <xf numFmtId="170" fontId="45" fillId="0" borderId="55" xfId="0" applyNumberFormat="1" applyFont="1" applyBorder="1"/>
    <xf numFmtId="0" fontId="15" fillId="0" borderId="123" xfId="0" applyFont="1" applyBorder="1"/>
    <xf numFmtId="170" fontId="45" fillId="0" borderId="56" xfId="0" applyNumberFormat="1" applyFont="1" applyBorder="1"/>
    <xf numFmtId="43" fontId="45" fillId="0" borderId="55" xfId="0" applyNumberFormat="1" applyFont="1" applyBorder="1" applyAlignment="1">
      <alignment horizontal="right"/>
    </xf>
    <xf numFmtId="43" fontId="45" fillId="0" borderId="56" xfId="0" applyNumberFormat="1" applyFont="1" applyBorder="1" applyAlignment="1">
      <alignment horizontal="right"/>
    </xf>
    <xf numFmtId="0" fontId="58" fillId="28" borderId="111" xfId="0" applyFont="1" applyFill="1" applyBorder="1" applyAlignment="1">
      <alignment horizontal="center"/>
    </xf>
    <xf numFmtId="0" fontId="58" fillId="28" borderId="77" xfId="0" applyFont="1" applyFill="1" applyBorder="1" applyAlignment="1">
      <alignment horizontal="center"/>
    </xf>
    <xf numFmtId="0" fontId="58" fillId="28" borderId="78" xfId="0" applyFont="1" applyFill="1" applyBorder="1" applyAlignment="1">
      <alignment horizontal="center"/>
    </xf>
    <xf numFmtId="0" fontId="58" fillId="28" borderId="79" xfId="0" applyFont="1" applyFill="1" applyBorder="1" applyAlignment="1">
      <alignment horizontal="center"/>
    </xf>
    <xf numFmtId="170" fontId="57" fillId="28" borderId="76" xfId="40" applyNumberFormat="1" applyFont="1" applyFill="1" applyBorder="1"/>
    <xf numFmtId="0" fontId="58" fillId="28" borderId="80" xfId="0" applyFont="1" applyFill="1" applyBorder="1" applyAlignment="1">
      <alignment horizontal="center"/>
    </xf>
    <xf numFmtId="0" fontId="58" fillId="28" borderId="76" xfId="0" applyFont="1" applyFill="1" applyBorder="1" applyAlignment="1">
      <alignment horizontal="center"/>
    </xf>
    <xf numFmtId="0" fontId="58" fillId="28" borderId="81" xfId="0" applyFont="1" applyFill="1" applyBorder="1" applyAlignment="1">
      <alignment horizontal="center"/>
    </xf>
    <xf numFmtId="0" fontId="58" fillId="28" borderId="83" xfId="0" applyFont="1" applyFill="1" applyBorder="1" applyAlignment="1">
      <alignment horizontal="center"/>
    </xf>
    <xf numFmtId="0" fontId="59" fillId="28" borderId="82" xfId="0" applyFont="1" applyFill="1" applyBorder="1" applyAlignment="1">
      <alignment horizontal="center"/>
    </xf>
    <xf numFmtId="0" fontId="59" fillId="28" borderId="81" xfId="0" applyFont="1" applyFill="1" applyBorder="1" applyAlignment="1">
      <alignment horizontal="center"/>
    </xf>
    <xf numFmtId="3" fontId="57" fillId="28" borderId="76" xfId="0" applyNumberFormat="1" applyFont="1" applyFill="1" applyBorder="1"/>
    <xf numFmtId="0" fontId="59" fillId="28" borderId="76" xfId="0" applyFont="1" applyFill="1" applyBorder="1" applyAlignment="1">
      <alignment horizontal="center"/>
    </xf>
    <xf numFmtId="43" fontId="21" fillId="0" borderId="47" xfId="40" applyFont="1" applyFill="1" applyBorder="1" applyAlignment="1">
      <alignment horizontal="left"/>
    </xf>
    <xf numFmtId="0" fontId="22" fillId="0" borderId="99" xfId="0" applyFont="1" applyBorder="1"/>
    <xf numFmtId="43" fontId="21" fillId="0" borderId="51" xfId="40" applyFont="1" applyFill="1" applyBorder="1" applyAlignment="1">
      <alignment horizontal="left"/>
    </xf>
    <xf numFmtId="43" fontId="50" fillId="26" borderId="78" xfId="40" applyFont="1" applyFill="1" applyBorder="1" applyAlignment="1">
      <alignment horizontal="left"/>
    </xf>
    <xf numFmtId="0" fontId="52" fillId="26" borderId="97" xfId="0" applyFont="1" applyFill="1" applyBorder="1" applyAlignment="1">
      <alignment horizontal="center"/>
    </xf>
    <xf numFmtId="0" fontId="50" fillId="26" borderId="97" xfId="0" applyFont="1" applyFill="1" applyBorder="1" applyAlignment="1">
      <alignment horizontal="center" vertical="center" wrapText="1"/>
    </xf>
    <xf numFmtId="0" fontId="50" fillId="26" borderId="98" xfId="0" applyFont="1" applyFill="1" applyBorder="1" applyAlignment="1">
      <alignment horizontal="center" vertical="center" wrapText="1"/>
    </xf>
    <xf numFmtId="164" fontId="45" fillId="0" borderId="0" xfId="44" applyFont="1" applyFill="1" applyBorder="1" applyAlignment="1">
      <alignment horizontal="right"/>
    </xf>
    <xf numFmtId="4" fontId="12" fillId="0" borderId="0" xfId="0" applyNumberFormat="1" applyFont="1" applyAlignment="1">
      <alignment horizontal="center"/>
    </xf>
    <xf numFmtId="176" fontId="11" fillId="0" borderId="0" xfId="0" applyNumberFormat="1" applyFont="1"/>
    <xf numFmtId="41" fontId="22" fillId="0" borderId="0" xfId="0" applyNumberFormat="1" applyFont="1"/>
    <xf numFmtId="43" fontId="15" fillId="31" borderId="65" xfId="40" applyFont="1" applyFill="1" applyBorder="1"/>
    <xf numFmtId="171" fontId="16" fillId="0" borderId="0" xfId="45" applyNumberFormat="1" applyFont="1" applyFill="1" applyBorder="1"/>
    <xf numFmtId="172" fontId="15" fillId="0" borderId="0" xfId="0" applyNumberFormat="1" applyFont="1"/>
    <xf numFmtId="172" fontId="0" fillId="0" borderId="0" xfId="0" applyNumberFormat="1"/>
    <xf numFmtId="173" fontId="15" fillId="0" borderId="0" xfId="0" applyNumberFormat="1" applyFont="1"/>
    <xf numFmtId="0" fontId="58" fillId="28" borderId="121" xfId="0" applyFont="1" applyFill="1" applyBorder="1" applyAlignment="1">
      <alignment horizontal="center" wrapText="1"/>
    </xf>
    <xf numFmtId="0" fontId="58" fillId="28" borderId="27" xfId="0" applyFont="1" applyFill="1" applyBorder="1" applyAlignment="1">
      <alignment horizontal="center" wrapText="1"/>
    </xf>
    <xf numFmtId="43" fontId="61" fillId="28" borderId="81" xfId="40" applyFont="1" applyFill="1" applyBorder="1" applyAlignment="1">
      <alignment horizontal="center"/>
    </xf>
    <xf numFmtId="164" fontId="47" fillId="26" borderId="70" xfId="44" applyFont="1" applyFill="1" applyBorder="1" applyAlignment="1">
      <alignment horizontal="center"/>
    </xf>
    <xf numFmtId="164" fontId="47" fillId="26" borderId="24" xfId="44" applyFont="1" applyFill="1" applyBorder="1" applyAlignment="1">
      <alignment horizontal="center"/>
    </xf>
    <xf numFmtId="164" fontId="10" fillId="0" borderId="84" xfId="44" applyFont="1" applyFill="1" applyBorder="1"/>
    <xf numFmtId="164" fontId="47" fillId="26" borderId="121" xfId="44" applyFont="1" applyFill="1" applyBorder="1" applyAlignment="1">
      <alignment horizontal="center"/>
    </xf>
    <xf numFmtId="164" fontId="11" fillId="0" borderId="64" xfId="44" applyFont="1" applyFill="1" applyBorder="1" applyAlignment="1">
      <alignment horizontal="left"/>
    </xf>
    <xf numFmtId="164" fontId="10" fillId="0" borderId="55" xfId="44" applyFill="1" applyBorder="1"/>
    <xf numFmtId="164" fontId="10" fillId="0" borderId="105" xfId="44" applyFill="1" applyBorder="1"/>
    <xf numFmtId="164" fontId="10" fillId="0" borderId="56" xfId="44" applyFill="1" applyBorder="1"/>
    <xf numFmtId="0" fontId="11" fillId="0" borderId="40" xfId="0" applyFont="1" applyBorder="1" applyAlignment="1">
      <alignment horizontal="left"/>
    </xf>
    <xf numFmtId="43" fontId="51" fillId="0" borderId="84" xfId="40" applyFont="1" applyFill="1" applyBorder="1"/>
    <xf numFmtId="170" fontId="45" fillId="0" borderId="123" xfId="0" applyNumberFormat="1" applyFont="1" applyBorder="1"/>
    <xf numFmtId="164" fontId="45" fillId="29" borderId="24" xfId="44" applyFont="1" applyFill="1" applyBorder="1" applyAlignment="1">
      <alignment horizontal="right"/>
    </xf>
    <xf numFmtId="164" fontId="45" fillId="29" borderId="124" xfId="44" applyFont="1" applyFill="1" applyBorder="1" applyAlignment="1">
      <alignment horizontal="right"/>
    </xf>
    <xf numFmtId="164" fontId="45" fillId="29" borderId="14" xfId="44" applyFont="1" applyFill="1" applyBorder="1" applyAlignment="1">
      <alignment horizontal="right"/>
    </xf>
    <xf numFmtId="164" fontId="45" fillId="29" borderId="36" xfId="44" applyFont="1" applyFill="1" applyBorder="1" applyAlignment="1">
      <alignment horizontal="right"/>
    </xf>
    <xf numFmtId="4" fontId="12" fillId="29" borderId="69" xfId="0" applyNumberFormat="1" applyFont="1" applyFill="1" applyBorder="1" applyAlignment="1">
      <alignment horizontal="center"/>
    </xf>
    <xf numFmtId="164" fontId="10" fillId="0" borderId="0" xfId="44" applyFill="1" applyBorder="1"/>
    <xf numFmtId="164" fontId="15" fillId="0" borderId="0" xfId="44" applyFont="1" applyFill="1" applyBorder="1"/>
    <xf numFmtId="43" fontId="15" fillId="0" borderId="0" xfId="40" applyFont="1" applyFill="1" applyBorder="1" applyAlignment="1">
      <alignment horizontal="right"/>
    </xf>
    <xf numFmtId="0" fontId="46" fillId="26" borderId="0" xfId="0" applyFont="1" applyFill="1" applyAlignment="1">
      <alignment horizontal="center" vertical="center" wrapText="1"/>
    </xf>
    <xf numFmtId="49" fontId="46" fillId="26" borderId="0" xfId="0" applyNumberFormat="1" applyFont="1" applyFill="1" applyAlignment="1">
      <alignment horizontal="center"/>
    </xf>
    <xf numFmtId="0" fontId="46" fillId="30" borderId="0" xfId="0" applyFont="1" applyFill="1" applyAlignment="1">
      <alignment horizontal="center" vertical="center" wrapText="1"/>
    </xf>
    <xf numFmtId="0" fontId="0" fillId="30" borderId="0" xfId="0" applyFill="1"/>
    <xf numFmtId="43" fontId="15" fillId="30" borderId="0" xfId="40" applyFont="1" applyFill="1" applyBorder="1"/>
    <xf numFmtId="43" fontId="15" fillId="30" borderId="0" xfId="40" applyFont="1" applyFill="1" applyBorder="1" applyAlignment="1">
      <alignment horizontal="right"/>
    </xf>
    <xf numFmtId="178" fontId="15" fillId="31" borderId="0" xfId="40" applyNumberFormat="1" applyFont="1" applyFill="1" applyBorder="1"/>
    <xf numFmtId="178" fontId="15" fillId="31" borderId="0" xfId="40" applyNumberFormat="1" applyFont="1" applyFill="1" applyBorder="1" applyAlignment="1">
      <alignment horizontal="right"/>
    </xf>
    <xf numFmtId="178" fontId="15" fillId="0" borderId="0" xfId="40" applyNumberFormat="1" applyFont="1" applyFill="1" applyBorder="1"/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/>
    </xf>
    <xf numFmtId="40" fontId="0" fillId="0" borderId="0" xfId="0" applyNumberFormat="1"/>
    <xf numFmtId="180" fontId="0" fillId="0" borderId="0" xfId="57" applyNumberFormat="1" applyFont="1" applyFill="1"/>
    <xf numFmtId="178" fontId="63" fillId="32" borderId="0" xfId="40" applyNumberFormat="1" applyFont="1" applyFill="1" applyBorder="1"/>
    <xf numFmtId="0" fontId="67" fillId="35" borderId="0" xfId="210" applyFont="1" applyFill="1" applyAlignment="1">
      <alignment horizontal="left"/>
    </xf>
    <xf numFmtId="0" fontId="71" fillId="36" borderId="0" xfId="210" applyFont="1" applyFill="1" applyAlignment="1">
      <alignment horizontal="center"/>
    </xf>
    <xf numFmtId="0" fontId="71" fillId="36" borderId="0" xfId="210" applyFont="1" applyFill="1"/>
    <xf numFmtId="4" fontId="71" fillId="36" borderId="0" xfId="210" applyNumberFormat="1" applyFont="1" applyFill="1" applyAlignment="1">
      <alignment horizontal="center"/>
    </xf>
    <xf numFmtId="0" fontId="67" fillId="35" borderId="0" xfId="210" applyFont="1" applyFill="1"/>
    <xf numFmtId="0" fontId="71" fillId="30" borderId="0" xfId="210" applyFont="1" applyFill="1" applyAlignment="1">
      <alignment horizontal="center"/>
    </xf>
    <xf numFmtId="0" fontId="71" fillId="30" borderId="0" xfId="210" applyFont="1" applyFill="1"/>
    <xf numFmtId="0" fontId="67" fillId="35" borderId="0" xfId="210" applyFont="1" applyFill="1" applyAlignment="1">
      <alignment horizontal="center"/>
    </xf>
    <xf numFmtId="4" fontId="71" fillId="30" borderId="0" xfId="210" applyNumberFormat="1" applyFont="1" applyFill="1" applyAlignment="1">
      <alignment horizontal="center"/>
    </xf>
    <xf numFmtId="0" fontId="71" fillId="0" borderId="0" xfId="210" applyFont="1" applyAlignment="1">
      <alignment horizontal="center"/>
    </xf>
    <xf numFmtId="0" fontId="69" fillId="35" borderId="0" xfId="210" applyFont="1" applyFill="1"/>
    <xf numFmtId="2" fontId="71" fillId="30" borderId="0" xfId="210" applyNumberFormat="1" applyFont="1" applyFill="1" applyAlignment="1">
      <alignment horizontal="center"/>
    </xf>
    <xf numFmtId="2" fontId="71" fillId="0" borderId="0" xfId="210" applyNumberFormat="1" applyFont="1" applyAlignment="1">
      <alignment horizontal="center"/>
    </xf>
    <xf numFmtId="2" fontId="71" fillId="36" borderId="0" xfId="210" applyNumberFormat="1" applyFont="1" applyFill="1" applyAlignment="1">
      <alignment horizontal="center"/>
    </xf>
    <xf numFmtId="4" fontId="67" fillId="35" borderId="0" xfId="210" applyNumberFormat="1" applyFont="1" applyFill="1" applyAlignment="1">
      <alignment horizontal="center"/>
    </xf>
    <xf numFmtId="0" fontId="74" fillId="30" borderId="0" xfId="210" applyFont="1" applyFill="1" applyAlignment="1">
      <alignment horizontal="left"/>
    </xf>
    <xf numFmtId="0" fontId="67" fillId="35" borderId="0" xfId="210" applyFont="1" applyFill="1" applyAlignment="1">
      <alignment horizontal="right"/>
    </xf>
    <xf numFmtId="0" fontId="76" fillId="35" borderId="0" xfId="210" applyFont="1" applyFill="1"/>
    <xf numFmtId="0" fontId="64" fillId="0" borderId="0" xfId="212" applyFont="1"/>
    <xf numFmtId="0" fontId="65" fillId="34" borderId="0" xfId="212" applyFont="1" applyFill="1"/>
    <xf numFmtId="0" fontId="66" fillId="34" borderId="0" xfId="212" applyFont="1" applyFill="1"/>
    <xf numFmtId="0" fontId="7" fillId="0" borderId="0" xfId="212"/>
    <xf numFmtId="0" fontId="67" fillId="0" borderId="0" xfId="212" applyFont="1" applyAlignment="1">
      <alignment horizontal="center"/>
    </xf>
    <xf numFmtId="0" fontId="68" fillId="0" borderId="0" xfId="212" applyFont="1"/>
    <xf numFmtId="0" fontId="67" fillId="35" borderId="0" xfId="212" applyFont="1" applyFill="1" applyAlignment="1">
      <alignment horizontal="center" vertical="center" wrapText="1"/>
    </xf>
    <xf numFmtId="0" fontId="67" fillId="35" borderId="0" xfId="212" applyFont="1" applyFill="1" applyAlignment="1">
      <alignment horizontal="center" vertical="center"/>
    </xf>
    <xf numFmtId="0" fontId="69" fillId="35" borderId="0" xfId="212" applyFont="1" applyFill="1"/>
    <xf numFmtId="0" fontId="7" fillId="0" borderId="0" xfId="212" applyAlignment="1">
      <alignment horizontal="left" indent="1"/>
    </xf>
    <xf numFmtId="3" fontId="70" fillId="0" borderId="0" xfId="212" applyNumberFormat="1" applyFont="1" applyAlignment="1">
      <alignment horizontal="center"/>
    </xf>
    <xf numFmtId="3" fontId="70" fillId="1" borderId="0" xfId="212" applyNumberFormat="1" applyFont="1" applyFill="1" applyAlignment="1">
      <alignment horizontal="center"/>
    </xf>
    <xf numFmtId="3" fontId="70" fillId="0" borderId="0" xfId="212" applyNumberFormat="1" applyFont="1"/>
    <xf numFmtId="167" fontId="70" fillId="0" borderId="0" xfId="213" applyNumberFormat="1" applyFont="1" applyBorder="1"/>
    <xf numFmtId="0" fontId="70" fillId="1" borderId="0" xfId="212" applyFont="1" applyFill="1" applyAlignment="1">
      <alignment horizontal="center"/>
    </xf>
    <xf numFmtId="0" fontId="72" fillId="31" borderId="0" xfId="212" applyFont="1" applyFill="1" applyAlignment="1">
      <alignment horizontal="left" indent="1"/>
    </xf>
    <xf numFmtId="3" fontId="73" fillId="31" borderId="0" xfId="212" applyNumberFormat="1" applyFont="1" applyFill="1" applyAlignment="1">
      <alignment horizontal="center"/>
    </xf>
    <xf numFmtId="0" fontId="67" fillId="35" borderId="0" xfId="212" applyFont="1" applyFill="1"/>
    <xf numFmtId="3" fontId="67" fillId="35" borderId="0" xfId="212" applyNumberFormat="1" applyFont="1" applyFill="1"/>
    <xf numFmtId="167" fontId="67" fillId="35" borderId="0" xfId="213" applyNumberFormat="1" applyFont="1" applyFill="1" applyBorder="1"/>
    <xf numFmtId="0" fontId="75" fillId="0" borderId="0" xfId="212" applyFont="1"/>
    <xf numFmtId="0" fontId="7" fillId="0" borderId="0" xfId="212" applyAlignment="1">
      <alignment horizontal="center"/>
    </xf>
    <xf numFmtId="2" fontId="7" fillId="0" borderId="0" xfId="212" applyNumberFormat="1" applyAlignment="1">
      <alignment horizontal="center"/>
    </xf>
    <xf numFmtId="3" fontId="77" fillId="32" borderId="80" xfId="212" applyNumberFormat="1" applyFont="1" applyFill="1" applyBorder="1" applyAlignment="1">
      <alignment horizontal="center"/>
    </xf>
    <xf numFmtId="3" fontId="77" fillId="32" borderId="123" xfId="212" applyNumberFormat="1" applyFont="1" applyFill="1" applyBorder="1" applyAlignment="1">
      <alignment horizontal="center"/>
    </xf>
    <xf numFmtId="0" fontId="70" fillId="0" borderId="0" xfId="212" applyFont="1"/>
    <xf numFmtId="3" fontId="78" fillId="32" borderId="107" xfId="212" applyNumberFormat="1" applyFont="1" applyFill="1" applyBorder="1" applyAlignment="1">
      <alignment horizontal="center"/>
    </xf>
    <xf numFmtId="0" fontId="7" fillId="35" borderId="0" xfId="212" applyFill="1"/>
    <xf numFmtId="0" fontId="11" fillId="0" borderId="118" xfId="212" applyFont="1" applyBorder="1" applyAlignment="1">
      <alignment horizontal="center"/>
    </xf>
    <xf numFmtId="0" fontId="11" fillId="0" borderId="34" xfId="212" applyFont="1" applyBorder="1" applyAlignment="1">
      <alignment horizontal="center"/>
    </xf>
    <xf numFmtId="0" fontId="11" fillId="0" borderId="75" xfId="212" applyFont="1" applyBorder="1" applyAlignment="1">
      <alignment horizontal="center"/>
    </xf>
    <xf numFmtId="0" fontId="11" fillId="0" borderId="27" xfId="212" applyFont="1" applyBorder="1"/>
    <xf numFmtId="171" fontId="0" fillId="0" borderId="16" xfId="214" applyNumberFormat="1" applyFont="1" applyBorder="1"/>
    <xf numFmtId="171" fontId="0" fillId="0" borderId="17" xfId="214" applyNumberFormat="1" applyFont="1" applyBorder="1"/>
    <xf numFmtId="171" fontId="0" fillId="0" borderId="126" xfId="214" applyNumberFormat="1" applyFont="1" applyBorder="1"/>
    <xf numFmtId="4" fontId="7" fillId="0" borderId="0" xfId="212" applyNumberFormat="1" applyAlignment="1">
      <alignment horizontal="center"/>
    </xf>
    <xf numFmtId="0" fontId="11" fillId="0" borderId="28" xfId="212" applyFont="1" applyBorder="1"/>
    <xf numFmtId="171" fontId="0" fillId="0" borderId="14" xfId="214" applyNumberFormat="1" applyFont="1" applyBorder="1"/>
    <xf numFmtId="171" fontId="0" fillId="0" borderId="19" xfId="214" applyNumberFormat="1" applyFont="1" applyBorder="1"/>
    <xf numFmtId="171" fontId="0" fillId="0" borderId="29" xfId="214" applyNumberFormat="1" applyFont="1" applyBorder="1"/>
    <xf numFmtId="0" fontId="11" fillId="0" borderId="127" xfId="212" applyFont="1" applyBorder="1"/>
    <xf numFmtId="171" fontId="10" fillId="0" borderId="128" xfId="214" applyNumberFormat="1" applyFont="1" applyBorder="1" applyAlignment="1">
      <alignment horizontal="right"/>
    </xf>
    <xf numFmtId="171" fontId="0" fillId="0" borderId="44" xfId="214" applyNumberFormat="1" applyFont="1" applyBorder="1"/>
    <xf numFmtId="171" fontId="0" fillId="0" borderId="74" xfId="214" applyNumberFormat="1" applyFont="1" applyBorder="1"/>
    <xf numFmtId="0" fontId="11" fillId="0" borderId="76" xfId="212" applyFont="1" applyBorder="1"/>
    <xf numFmtId="171" fontId="0" fillId="0" borderId="117" xfId="214" applyNumberFormat="1" applyFont="1" applyBorder="1"/>
    <xf numFmtId="171" fontId="0" fillId="0" borderId="97" xfId="214" applyNumberFormat="1" applyFont="1" applyBorder="1"/>
    <xf numFmtId="171" fontId="0" fillId="0" borderId="98" xfId="214" applyNumberFormat="1" applyFont="1" applyBorder="1"/>
    <xf numFmtId="0" fontId="67" fillId="35" borderId="0" xfId="212" applyFont="1" applyFill="1" applyAlignment="1">
      <alignment horizontal="center"/>
    </xf>
    <xf numFmtId="171" fontId="7" fillId="0" borderId="0" xfId="212" applyNumberFormat="1"/>
    <xf numFmtId="0" fontId="72" fillId="0" borderId="0" xfId="212" applyFont="1"/>
    <xf numFmtId="171" fontId="72" fillId="0" borderId="0" xfId="212" applyNumberFormat="1" applyFont="1"/>
    <xf numFmtId="3" fontId="7" fillId="0" borderId="0" xfId="212" applyNumberFormat="1"/>
    <xf numFmtId="3" fontId="72" fillId="0" borderId="0" xfId="212" applyNumberFormat="1" applyFont="1"/>
    <xf numFmtId="3" fontId="76" fillId="32" borderId="76" xfId="212" applyNumberFormat="1" applyFont="1" applyFill="1" applyBorder="1"/>
    <xf numFmtId="3" fontId="79" fillId="0" borderId="0" xfId="212" applyNumberFormat="1" applyFont="1"/>
    <xf numFmtId="43" fontId="0" fillId="0" borderId="0" xfId="40" applyFont="1" applyBorder="1"/>
    <xf numFmtId="43" fontId="0" fillId="0" borderId="0" xfId="40" applyFont="1"/>
    <xf numFmtId="43" fontId="54" fillId="0" borderId="0" xfId="40" applyFont="1" applyBorder="1"/>
    <xf numFmtId="0" fontId="10" fillId="0" borderId="0" xfId="0" applyFont="1"/>
    <xf numFmtId="43" fontId="10" fillId="0" borderId="0" xfId="0" applyNumberFormat="1" applyFont="1" applyAlignment="1">
      <alignment horizontal="center"/>
    </xf>
    <xf numFmtId="164" fontId="15" fillId="0" borderId="0" xfId="0" applyNumberFormat="1" applyFont="1"/>
    <xf numFmtId="0" fontId="10" fillId="0" borderId="105" xfId="0" applyFont="1" applyBorder="1"/>
    <xf numFmtId="0" fontId="10" fillId="0" borderId="55" xfId="0" applyFont="1" applyBorder="1"/>
    <xf numFmtId="182" fontId="15" fillId="0" borderId="0" xfId="0" applyNumberFormat="1" applyFont="1"/>
    <xf numFmtId="10" fontId="47" fillId="26" borderId="19" xfId="57" applyNumberFormat="1" applyFont="1" applyFill="1" applyBorder="1" applyAlignment="1">
      <alignment horizontal="center"/>
    </xf>
    <xf numFmtId="9" fontId="7" fillId="0" borderId="0" xfId="57" applyFont="1"/>
    <xf numFmtId="9" fontId="7" fillId="0" borderId="0" xfId="57" applyFont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181" fontId="12" fillId="32" borderId="19" xfId="40" applyNumberFormat="1" applyFont="1" applyFill="1" applyBorder="1" applyAlignment="1">
      <alignment horizontal="center"/>
    </xf>
    <xf numFmtId="0" fontId="82" fillId="0" borderId="0" xfId="0" applyFont="1"/>
    <xf numFmtId="41" fontId="21" fillId="0" borderId="0" xfId="0" applyNumberFormat="1" applyFont="1"/>
    <xf numFmtId="3" fontId="80" fillId="0" borderId="129" xfId="212" applyNumberFormat="1" applyFont="1" applyBorder="1"/>
    <xf numFmtId="0" fontId="81" fillId="0" borderId="0" xfId="212" applyFont="1"/>
    <xf numFmtId="3" fontId="77" fillId="32" borderId="31" xfId="212" applyNumberFormat="1" applyFont="1" applyFill="1" applyBorder="1" applyAlignment="1">
      <alignment horizontal="center"/>
    </xf>
    <xf numFmtId="3" fontId="77" fillId="32" borderId="11" xfId="212" applyNumberFormat="1" applyFont="1" applyFill="1" applyBorder="1" applyAlignment="1">
      <alignment horizontal="center"/>
    </xf>
    <xf numFmtId="3" fontId="78" fillId="32" borderId="81" xfId="212" applyNumberFormat="1" applyFont="1" applyFill="1" applyBorder="1" applyAlignment="1">
      <alignment horizontal="center"/>
    </xf>
    <xf numFmtId="9" fontId="80" fillId="0" borderId="95" xfId="57" applyFont="1" applyBorder="1" applyAlignment="1">
      <alignment horizontal="center"/>
    </xf>
    <xf numFmtId="9" fontId="80" fillId="0" borderId="69" xfId="57" applyFont="1" applyBorder="1" applyAlignment="1">
      <alignment horizontal="center"/>
    </xf>
    <xf numFmtId="3" fontId="80" fillId="0" borderId="5" xfId="212" applyNumberFormat="1" applyFont="1" applyBorder="1"/>
    <xf numFmtId="9" fontId="80" fillId="0" borderId="96" xfId="57" applyFont="1" applyBorder="1" applyAlignment="1">
      <alignment horizontal="center"/>
    </xf>
    <xf numFmtId="3" fontId="80" fillId="0" borderId="113" xfId="212" applyNumberFormat="1" applyFont="1" applyBorder="1"/>
    <xf numFmtId="2" fontId="85" fillId="30" borderId="0" xfId="0" applyNumberFormat="1" applyFont="1" applyFill="1" applyAlignment="1">
      <alignment horizontal="center"/>
    </xf>
    <xf numFmtId="43" fontId="10" fillId="0" borderId="0" xfId="0" applyNumberFormat="1" applyFont="1" applyAlignment="1">
      <alignment vertical="center"/>
    </xf>
    <xf numFmtId="0" fontId="86" fillId="0" borderId="0" xfId="173" applyFont="1"/>
    <xf numFmtId="171" fontId="86" fillId="24" borderId="35" xfId="216" applyNumberFormat="1" applyFont="1" applyFill="1" applyBorder="1"/>
    <xf numFmtId="171" fontId="86" fillId="24" borderId="35" xfId="210" applyNumberFormat="1" applyFont="1" applyFill="1" applyBorder="1"/>
    <xf numFmtId="0" fontId="86" fillId="24" borderId="35" xfId="210" applyFont="1" applyFill="1" applyBorder="1" applyAlignment="1">
      <alignment horizontal="center"/>
    </xf>
    <xf numFmtId="0" fontId="86" fillId="24" borderId="108" xfId="210" applyFont="1" applyFill="1" applyBorder="1"/>
    <xf numFmtId="0" fontId="86" fillId="24" borderId="30" xfId="210" applyFont="1" applyFill="1" applyBorder="1"/>
    <xf numFmtId="0" fontId="86" fillId="24" borderId="30" xfId="210" applyFont="1" applyFill="1" applyBorder="1" applyAlignment="1">
      <alignment horizontal="center"/>
    </xf>
    <xf numFmtId="0" fontId="86" fillId="24" borderId="130" xfId="210" applyFont="1" applyFill="1" applyBorder="1"/>
    <xf numFmtId="171" fontId="86" fillId="24" borderId="30" xfId="216" applyNumberFormat="1" applyFont="1" applyFill="1" applyBorder="1"/>
    <xf numFmtId="0" fontId="65" fillId="35" borderId="126" xfId="210" applyFont="1" applyFill="1" applyBorder="1" applyAlignment="1">
      <alignment horizontal="center"/>
    </xf>
    <xf numFmtId="0" fontId="65" fillId="35" borderId="17" xfId="210" applyFont="1" applyFill="1" applyBorder="1" applyAlignment="1">
      <alignment horizontal="center"/>
    </xf>
    <xf numFmtId="0" fontId="65" fillId="35" borderId="18" xfId="210" applyFont="1" applyFill="1" applyBorder="1" applyAlignment="1">
      <alignment horizontal="center"/>
    </xf>
    <xf numFmtId="0" fontId="65" fillId="35" borderId="16" xfId="210" applyFont="1" applyFill="1" applyBorder="1"/>
    <xf numFmtId="0" fontId="86" fillId="24" borderId="35" xfId="210" applyFont="1" applyFill="1" applyBorder="1"/>
    <xf numFmtId="0" fontId="86" fillId="24" borderId="11" xfId="210" applyFont="1" applyFill="1" applyBorder="1"/>
    <xf numFmtId="10" fontId="87" fillId="0" borderId="39" xfId="173" applyNumberFormat="1" applyFont="1" applyBorder="1"/>
    <xf numFmtId="10" fontId="87" fillId="0" borderId="23" xfId="173" applyNumberFormat="1" applyFont="1" applyBorder="1"/>
    <xf numFmtId="0" fontId="65" fillId="35" borderId="118" xfId="173" applyFont="1" applyFill="1" applyBorder="1" applyAlignment="1">
      <alignment horizontal="center"/>
    </xf>
    <xf numFmtId="0" fontId="65" fillId="35" borderId="108" xfId="173" applyFont="1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51" xfId="0" applyFont="1" applyBorder="1" applyAlignment="1">
      <alignment horizontal="center"/>
    </xf>
    <xf numFmtId="40" fontId="59" fillId="0" borderId="0" xfId="0" applyNumberFormat="1" applyFont="1"/>
    <xf numFmtId="183" fontId="59" fillId="0" borderId="0" xfId="0" applyNumberFormat="1" applyFont="1"/>
    <xf numFmtId="0" fontId="5" fillId="0" borderId="0" xfId="217"/>
    <xf numFmtId="0" fontId="64" fillId="0" borderId="0" xfId="217" applyFont="1"/>
    <xf numFmtId="0" fontId="65" fillId="34" borderId="0" xfId="217" applyFont="1" applyFill="1"/>
    <xf numFmtId="0" fontId="66" fillId="34" borderId="0" xfId="217" applyFont="1" applyFill="1"/>
    <xf numFmtId="0" fontId="88" fillId="0" borderId="0" xfId="210" applyFont="1"/>
    <xf numFmtId="0" fontId="86" fillId="0" borderId="0" xfId="210" applyFont="1"/>
    <xf numFmtId="0" fontId="86" fillId="24" borderId="130" xfId="210" applyFont="1" applyFill="1" applyBorder="1" applyAlignment="1">
      <alignment horizontal="left" indent="1"/>
    </xf>
    <xf numFmtId="10" fontId="86" fillId="30" borderId="30" xfId="218" applyNumberFormat="1" applyFont="1" applyFill="1" applyBorder="1" applyAlignment="1">
      <alignment horizontal="center"/>
    </xf>
    <xf numFmtId="10" fontId="87" fillId="0" borderId="30" xfId="218" applyNumberFormat="1" applyFont="1" applyFill="1" applyBorder="1" applyAlignment="1">
      <alignment horizontal="center"/>
    </xf>
    <xf numFmtId="10" fontId="86" fillId="30" borderId="37" xfId="218" applyNumberFormat="1" applyFont="1" applyFill="1" applyBorder="1" applyAlignment="1">
      <alignment horizontal="center"/>
    </xf>
    <xf numFmtId="167" fontId="86" fillId="0" borderId="0" xfId="218" applyNumberFormat="1" applyFont="1" applyBorder="1"/>
    <xf numFmtId="0" fontId="89" fillId="0" borderId="0" xfId="210" applyFont="1"/>
    <xf numFmtId="0" fontId="86" fillId="24" borderId="108" xfId="210" applyFont="1" applyFill="1" applyBorder="1" applyAlignment="1">
      <alignment horizontal="left" indent="1"/>
    </xf>
    <xf numFmtId="10" fontId="86" fillId="30" borderId="35" xfId="218" applyNumberFormat="1" applyFont="1" applyFill="1" applyBorder="1" applyAlignment="1">
      <alignment horizontal="center"/>
    </xf>
    <xf numFmtId="10" fontId="87" fillId="30" borderId="35" xfId="218" applyNumberFormat="1" applyFont="1" applyFill="1" applyBorder="1" applyAlignment="1">
      <alignment horizontal="center"/>
    </xf>
    <xf numFmtId="10" fontId="86" fillId="30" borderId="104" xfId="218" applyNumberFormat="1" applyFont="1" applyFill="1" applyBorder="1" applyAlignment="1">
      <alignment horizontal="center"/>
    </xf>
    <xf numFmtId="10" fontId="86" fillId="30" borderId="0" xfId="218" applyNumberFormat="1" applyFont="1" applyFill="1" applyBorder="1" applyAlignment="1">
      <alignment horizontal="center"/>
    </xf>
    <xf numFmtId="0" fontId="65" fillId="35" borderId="16" xfId="210" applyFont="1" applyFill="1" applyBorder="1" applyAlignment="1">
      <alignment horizontal="left" indent="1"/>
    </xf>
    <xf numFmtId="0" fontId="86" fillId="24" borderId="17" xfId="210" applyFont="1" applyFill="1" applyBorder="1" applyAlignment="1">
      <alignment horizontal="center"/>
    </xf>
    <xf numFmtId="10" fontId="87" fillId="30" borderId="126" xfId="218" applyNumberFormat="1" applyFont="1" applyFill="1" applyBorder="1" applyAlignment="1">
      <alignment horizontal="center"/>
    </xf>
    <xf numFmtId="164" fontId="86" fillId="0" borderId="0" xfId="219" applyFont="1" applyBorder="1"/>
    <xf numFmtId="0" fontId="65" fillId="35" borderId="36" xfId="210" applyFont="1" applyFill="1" applyBorder="1" applyAlignment="1">
      <alignment horizontal="left" indent="1"/>
    </xf>
    <xf numFmtId="0" fontId="86" fillId="24" borderId="22" xfId="210" applyFont="1" applyFill="1" applyBorder="1" applyAlignment="1">
      <alignment horizontal="center"/>
    </xf>
    <xf numFmtId="10" fontId="87" fillId="30" borderId="131" xfId="210" applyNumberFormat="1" applyFont="1" applyFill="1" applyBorder="1" applyAlignment="1">
      <alignment horizontal="center"/>
    </xf>
    <xf numFmtId="0" fontId="86" fillId="24" borderId="0" xfId="210" applyFont="1" applyFill="1"/>
    <xf numFmtId="164" fontId="86" fillId="0" borderId="0" xfId="219" applyFont="1"/>
    <xf numFmtId="171" fontId="86" fillId="24" borderId="30" xfId="219" applyNumberFormat="1" applyFont="1" applyFill="1" applyBorder="1"/>
    <xf numFmtId="171" fontId="86" fillId="24" borderId="37" xfId="219" applyNumberFormat="1" applyFont="1" applyFill="1" applyBorder="1"/>
    <xf numFmtId="0" fontId="86" fillId="0" borderId="11" xfId="210" applyFont="1" applyBorder="1"/>
    <xf numFmtId="0" fontId="86" fillId="0" borderId="30" xfId="210" applyFont="1" applyBorder="1" applyAlignment="1">
      <alignment horizontal="center"/>
    </xf>
    <xf numFmtId="171" fontId="86" fillId="0" borderId="30" xfId="219" applyNumberFormat="1" applyFont="1" applyFill="1" applyBorder="1"/>
    <xf numFmtId="171" fontId="86" fillId="0" borderId="37" xfId="219" applyNumberFormat="1" applyFont="1" applyFill="1" applyBorder="1"/>
    <xf numFmtId="0" fontId="86" fillId="0" borderId="13" xfId="210" applyFont="1" applyBorder="1"/>
    <xf numFmtId="0" fontId="86" fillId="0" borderId="35" xfId="210" applyFont="1" applyBorder="1" applyAlignment="1">
      <alignment horizontal="center"/>
    </xf>
    <xf numFmtId="171" fontId="90" fillId="0" borderId="35" xfId="219" applyNumberFormat="1" applyFont="1" applyFill="1" applyBorder="1"/>
    <xf numFmtId="171" fontId="90" fillId="0" borderId="104" xfId="219" applyNumberFormat="1" applyFont="1" applyFill="1" applyBorder="1"/>
    <xf numFmtId="0" fontId="86" fillId="0" borderId="0" xfId="210" applyFont="1" applyAlignment="1">
      <alignment horizontal="center"/>
    </xf>
    <xf numFmtId="171" fontId="86" fillId="0" borderId="0" xfId="219" applyNumberFormat="1" applyFont="1" applyFill="1" applyBorder="1"/>
    <xf numFmtId="0" fontId="65" fillId="35" borderId="27" xfId="210" applyFont="1" applyFill="1" applyBorder="1"/>
    <xf numFmtId="0" fontId="65" fillId="38" borderId="76" xfId="210" applyFont="1" applyFill="1" applyBorder="1" applyAlignment="1">
      <alignment horizontal="center"/>
    </xf>
    <xf numFmtId="171" fontId="86" fillId="0" borderId="26" xfId="219" applyNumberFormat="1" applyFont="1" applyFill="1" applyBorder="1"/>
    <xf numFmtId="0" fontId="87" fillId="0" borderId="80" xfId="210" applyFont="1" applyBorder="1" applyAlignment="1">
      <alignment horizontal="center"/>
    </xf>
    <xf numFmtId="0" fontId="86" fillId="36" borderId="80" xfId="210" applyFont="1" applyFill="1" applyBorder="1" applyAlignment="1">
      <alignment horizontal="center"/>
    </xf>
    <xf numFmtId="0" fontId="66" fillId="0" borderId="0" xfId="210" applyFont="1"/>
    <xf numFmtId="0" fontId="87" fillId="0" borderId="123" xfId="210" applyFont="1" applyBorder="1" applyAlignment="1">
      <alignment horizontal="center"/>
    </xf>
    <xf numFmtId="0" fontId="86" fillId="36" borderId="123" xfId="210" applyFont="1" applyFill="1" applyBorder="1" applyAlignment="1">
      <alignment horizontal="center"/>
    </xf>
    <xf numFmtId="0" fontId="86" fillId="24" borderId="13" xfId="210" applyFont="1" applyFill="1" applyBorder="1"/>
    <xf numFmtId="171" fontId="86" fillId="0" borderId="35" xfId="219" applyNumberFormat="1" applyFont="1" applyFill="1" applyBorder="1"/>
    <xf numFmtId="171" fontId="86" fillId="0" borderId="12" xfId="219" applyNumberFormat="1" applyFont="1" applyFill="1" applyBorder="1"/>
    <xf numFmtId="171" fontId="86" fillId="0" borderId="23" xfId="219" applyNumberFormat="1" applyFont="1" applyFill="1" applyBorder="1"/>
    <xf numFmtId="0" fontId="87" fillId="0" borderId="107" xfId="210" applyFont="1" applyBorder="1" applyAlignment="1">
      <alignment horizontal="center"/>
    </xf>
    <xf numFmtId="0" fontId="86" fillId="36" borderId="107" xfId="210" applyFont="1" applyFill="1" applyBorder="1" applyAlignment="1">
      <alignment horizontal="center"/>
    </xf>
    <xf numFmtId="0" fontId="86" fillId="24" borderId="0" xfId="210" applyFont="1" applyFill="1" applyAlignment="1">
      <alignment horizontal="center"/>
    </xf>
    <xf numFmtId="0" fontId="88" fillId="24" borderId="30" xfId="210" applyFont="1" applyFill="1" applyBorder="1" applyAlignment="1">
      <alignment horizontal="center"/>
    </xf>
    <xf numFmtId="0" fontId="91" fillId="0" borderId="0" xfId="210" applyFont="1"/>
    <xf numFmtId="0" fontId="86" fillId="24" borderId="32" xfId="210" applyFont="1" applyFill="1" applyBorder="1" applyAlignment="1">
      <alignment horizontal="center"/>
    </xf>
    <xf numFmtId="171" fontId="86" fillId="0" borderId="32" xfId="219" applyNumberFormat="1" applyFont="1" applyFill="1" applyBorder="1"/>
    <xf numFmtId="0" fontId="88" fillId="0" borderId="0" xfId="210" applyFont="1" applyAlignment="1">
      <alignment horizontal="center"/>
    </xf>
    <xf numFmtId="171" fontId="86" fillId="24" borderId="0" xfId="219" applyNumberFormat="1" applyFont="1" applyFill="1" applyBorder="1"/>
    <xf numFmtId="171" fontId="86" fillId="24" borderId="26" xfId="219" applyNumberFormat="1" applyFont="1" applyFill="1" applyBorder="1"/>
    <xf numFmtId="171" fontId="86" fillId="0" borderId="0" xfId="210" applyNumberFormat="1" applyFont="1"/>
    <xf numFmtId="171" fontId="86" fillId="24" borderId="35" xfId="219" applyNumberFormat="1" applyFont="1" applyFill="1" applyBorder="1"/>
    <xf numFmtId="171" fontId="86" fillId="24" borderId="12" xfId="219" applyNumberFormat="1" applyFont="1" applyFill="1" applyBorder="1"/>
    <xf numFmtId="171" fontId="86" fillId="24" borderId="23" xfId="219" applyNumberFormat="1" applyFont="1" applyFill="1" applyBorder="1"/>
    <xf numFmtId="0" fontId="86" fillId="0" borderId="130" xfId="210" applyFont="1" applyBorder="1"/>
    <xf numFmtId="0" fontId="86" fillId="0" borderId="30" xfId="210" applyFont="1" applyBorder="1"/>
    <xf numFmtId="0" fontId="88" fillId="31" borderId="36" xfId="210" applyFont="1" applyFill="1" applyBorder="1"/>
    <xf numFmtId="0" fontId="86" fillId="31" borderId="22" xfId="210" applyFont="1" applyFill="1" applyBorder="1"/>
    <xf numFmtId="171" fontId="86" fillId="31" borderId="22" xfId="210" applyNumberFormat="1" applyFont="1" applyFill="1" applyBorder="1"/>
    <xf numFmtId="171" fontId="86" fillId="31" borderId="131" xfId="210" applyNumberFormat="1" applyFont="1" applyFill="1" applyBorder="1"/>
    <xf numFmtId="0" fontId="86" fillId="30" borderId="0" xfId="210" applyFont="1" applyFill="1"/>
    <xf numFmtId="0" fontId="88" fillId="30" borderId="0" xfId="210" applyFont="1" applyFill="1"/>
    <xf numFmtId="171" fontId="86" fillId="30" borderId="0" xfId="210" applyNumberFormat="1" applyFont="1" applyFill="1"/>
    <xf numFmtId="41" fontId="86" fillId="24" borderId="30" xfId="210" applyNumberFormat="1" applyFont="1" applyFill="1" applyBorder="1"/>
    <xf numFmtId="0" fontId="86" fillId="24" borderId="104" xfId="210" applyFont="1" applyFill="1" applyBorder="1"/>
    <xf numFmtId="0" fontId="65" fillId="35" borderId="126" xfId="210" applyFont="1" applyFill="1" applyBorder="1" applyAlignment="1">
      <alignment horizontal="left"/>
    </xf>
    <xf numFmtId="3" fontId="86" fillId="24" borderId="30" xfId="210" applyNumberFormat="1" applyFont="1" applyFill="1" applyBorder="1"/>
    <xf numFmtId="0" fontId="86" fillId="24" borderId="37" xfId="210" applyFont="1" applyFill="1" applyBorder="1"/>
    <xf numFmtId="171" fontId="86" fillId="24" borderId="104" xfId="219" applyNumberFormat="1" applyFont="1" applyFill="1" applyBorder="1"/>
    <xf numFmtId="0" fontId="65" fillId="35" borderId="17" xfId="210" applyFont="1" applyFill="1" applyBorder="1" applyAlignment="1">
      <alignment horizontal="center" vertical="center"/>
    </xf>
    <xf numFmtId="0" fontId="86" fillId="24" borderId="130" xfId="210" applyFont="1" applyFill="1" applyBorder="1" applyAlignment="1">
      <alignment horizontal="left" vertical="center" indent="1"/>
    </xf>
    <xf numFmtId="0" fontId="86" fillId="30" borderId="30" xfId="210" applyFont="1" applyFill="1" applyBorder="1" applyAlignment="1">
      <alignment horizontal="center" vertical="center"/>
    </xf>
    <xf numFmtId="171" fontId="86" fillId="30" borderId="30" xfId="210" applyNumberFormat="1" applyFont="1" applyFill="1" applyBorder="1"/>
    <xf numFmtId="171" fontId="86" fillId="30" borderId="37" xfId="210" applyNumberFormat="1" applyFont="1" applyFill="1" applyBorder="1"/>
    <xf numFmtId="0" fontId="86" fillId="24" borderId="110" xfId="210" applyFont="1" applyFill="1" applyBorder="1" applyAlignment="1">
      <alignment horizontal="left" vertical="center" indent="1"/>
    </xf>
    <xf numFmtId="0" fontId="86" fillId="30" borderId="84" xfId="210" applyFont="1" applyFill="1" applyBorder="1" applyAlignment="1">
      <alignment horizontal="center" vertical="center"/>
    </xf>
    <xf numFmtId="171" fontId="86" fillId="30" borderId="84" xfId="210" applyNumberFormat="1" applyFont="1" applyFill="1" applyBorder="1"/>
    <xf numFmtId="171" fontId="86" fillId="30" borderId="119" xfId="210" applyNumberFormat="1" applyFont="1" applyFill="1" applyBorder="1"/>
    <xf numFmtId="0" fontId="86" fillId="24" borderId="108" xfId="210" applyFont="1" applyFill="1" applyBorder="1" applyAlignment="1">
      <alignment horizontal="left" vertical="center" indent="1"/>
    </xf>
    <xf numFmtId="0" fontId="86" fillId="30" borderId="35" xfId="210" applyFont="1" applyFill="1" applyBorder="1" applyAlignment="1">
      <alignment horizontal="center" vertical="center"/>
    </xf>
    <xf numFmtId="171" fontId="86" fillId="30" borderId="35" xfId="210" applyNumberFormat="1" applyFont="1" applyFill="1" applyBorder="1"/>
    <xf numFmtId="171" fontId="86" fillId="30" borderId="104" xfId="210" applyNumberFormat="1" applyFont="1" applyFill="1" applyBorder="1"/>
    <xf numFmtId="0" fontId="88" fillId="24" borderId="128" xfId="210" applyFont="1" applyFill="1" applyBorder="1" applyAlignment="1">
      <alignment vertical="center"/>
    </xf>
    <xf numFmtId="0" fontId="86" fillId="30" borderId="44" xfId="210" applyFont="1" applyFill="1" applyBorder="1" applyAlignment="1">
      <alignment horizontal="center" vertical="center"/>
    </xf>
    <xf numFmtId="0" fontId="86" fillId="30" borderId="44" xfId="210" applyFont="1" applyFill="1" applyBorder="1"/>
    <xf numFmtId="171" fontId="86" fillId="30" borderId="44" xfId="210" applyNumberFormat="1" applyFont="1" applyFill="1" applyBorder="1"/>
    <xf numFmtId="171" fontId="86" fillId="30" borderId="74" xfId="210" applyNumberFormat="1" applyFont="1" applyFill="1" applyBorder="1"/>
    <xf numFmtId="171" fontId="88" fillId="30" borderId="30" xfId="210" applyNumberFormat="1" applyFont="1" applyFill="1" applyBorder="1"/>
    <xf numFmtId="171" fontId="88" fillId="30" borderId="37" xfId="210" applyNumberFormat="1" applyFont="1" applyFill="1" applyBorder="1"/>
    <xf numFmtId="0" fontId="86" fillId="30" borderId="30" xfId="210" applyFont="1" applyFill="1" applyBorder="1"/>
    <xf numFmtId="0" fontId="88" fillId="24" borderId="103" xfId="210" applyFont="1" applyFill="1" applyBorder="1" applyAlignment="1">
      <alignment horizontal="left" vertical="center" indent="1"/>
    </xf>
    <xf numFmtId="0" fontId="86" fillId="30" borderId="41" xfId="210" applyFont="1" applyFill="1" applyBorder="1" applyAlignment="1">
      <alignment horizontal="center" vertical="center"/>
    </xf>
    <xf numFmtId="0" fontId="88" fillId="30" borderId="41" xfId="210" applyFont="1" applyFill="1" applyBorder="1"/>
    <xf numFmtId="171" fontId="88" fillId="30" borderId="41" xfId="210" applyNumberFormat="1" applyFont="1" applyFill="1" applyBorder="1"/>
    <xf numFmtId="171" fontId="88" fillId="30" borderId="42" xfId="210" applyNumberFormat="1" applyFont="1" applyFill="1" applyBorder="1"/>
    <xf numFmtId="0" fontId="88" fillId="24" borderId="130" xfId="210" applyFont="1" applyFill="1" applyBorder="1" applyAlignment="1">
      <alignment horizontal="left" vertical="center"/>
    </xf>
    <xf numFmtId="0" fontId="86" fillId="30" borderId="41" xfId="210" applyFont="1" applyFill="1" applyBorder="1"/>
    <xf numFmtId="0" fontId="88" fillId="24" borderId="14" xfId="210" applyFont="1" applyFill="1" applyBorder="1" applyAlignment="1">
      <alignment vertical="center"/>
    </xf>
    <xf numFmtId="0" fontId="86" fillId="30" borderId="19" xfId="210" applyFont="1" applyFill="1" applyBorder="1" applyAlignment="1">
      <alignment horizontal="center" vertical="center"/>
    </xf>
    <xf numFmtId="0" fontId="88" fillId="24" borderId="130" xfId="210" applyFont="1" applyFill="1" applyBorder="1" applyAlignment="1">
      <alignment vertical="center"/>
    </xf>
    <xf numFmtId="0" fontId="88" fillId="30" borderId="108" xfId="210" applyFont="1" applyFill="1" applyBorder="1" applyAlignment="1">
      <alignment horizontal="left" indent="1"/>
    </xf>
    <xf numFmtId="0" fontId="86" fillId="30" borderId="35" xfId="210" applyFont="1" applyFill="1" applyBorder="1"/>
    <xf numFmtId="171" fontId="88" fillId="30" borderId="35" xfId="210" applyNumberFormat="1" applyFont="1" applyFill="1" applyBorder="1"/>
    <xf numFmtId="171" fontId="88" fillId="30" borderId="104" xfId="210" applyNumberFormat="1" applyFont="1" applyFill="1" applyBorder="1"/>
    <xf numFmtId="0" fontId="88" fillId="31" borderId="78" xfId="210" applyFont="1" applyFill="1" applyBorder="1"/>
    <xf numFmtId="0" fontId="88" fillId="31" borderId="97" xfId="210" applyFont="1" applyFill="1" applyBorder="1" applyAlignment="1">
      <alignment horizontal="center" vertical="center"/>
    </xf>
    <xf numFmtId="0" fontId="88" fillId="31" borderId="97" xfId="210" applyFont="1" applyFill="1" applyBorder="1"/>
    <xf numFmtId="171" fontId="88" fillId="31" borderId="97" xfId="210" applyNumberFormat="1" applyFont="1" applyFill="1" applyBorder="1"/>
    <xf numFmtId="171" fontId="88" fillId="31" borderId="98" xfId="210" applyNumberFormat="1" applyFont="1" applyFill="1" applyBorder="1"/>
    <xf numFmtId="0" fontId="65" fillId="35" borderId="27" xfId="210" applyFont="1" applyFill="1" applyBorder="1" applyAlignment="1">
      <alignment horizontal="center" vertical="center"/>
    </xf>
    <xf numFmtId="0" fontId="86" fillId="35" borderId="43" xfId="210" applyFont="1" applyFill="1" applyBorder="1"/>
    <xf numFmtId="0" fontId="86" fillId="24" borderId="12" xfId="210" applyFont="1" applyFill="1" applyBorder="1" applyAlignment="1">
      <alignment vertical="center"/>
    </xf>
    <xf numFmtId="186" fontId="86" fillId="24" borderId="35" xfId="219" applyNumberFormat="1" applyFont="1" applyFill="1" applyBorder="1" applyAlignment="1">
      <alignment horizontal="center" vertical="center"/>
    </xf>
    <xf numFmtId="186" fontId="86" fillId="24" borderId="104" xfId="219" applyNumberFormat="1" applyFont="1" applyFill="1" applyBorder="1" applyAlignment="1">
      <alignment horizontal="center" vertical="center"/>
    </xf>
    <xf numFmtId="186" fontId="86" fillId="30" borderId="0" xfId="210" applyNumberFormat="1" applyFont="1" applyFill="1"/>
    <xf numFmtId="0" fontId="65" fillId="0" borderId="0" xfId="210" applyFont="1" applyAlignment="1">
      <alignment horizontal="center"/>
    </xf>
    <xf numFmtId="171" fontId="88" fillId="0" borderId="0" xfId="210" applyNumberFormat="1" applyFont="1"/>
    <xf numFmtId="0" fontId="86" fillId="30" borderId="0" xfId="210" applyFont="1" applyFill="1" applyAlignment="1">
      <alignment horizontal="center" vertical="center"/>
    </xf>
    <xf numFmtId="0" fontId="65" fillId="35" borderId="78" xfId="210" applyFont="1" applyFill="1" applyBorder="1" applyAlignment="1">
      <alignment horizontal="center" vertical="center"/>
    </xf>
    <xf numFmtId="0" fontId="86" fillId="0" borderId="82" xfId="210" applyFont="1" applyBorder="1"/>
    <xf numFmtId="0" fontId="65" fillId="35" borderId="97" xfId="210" applyFont="1" applyFill="1" applyBorder="1" applyAlignment="1">
      <alignment horizontal="center" vertical="center"/>
    </xf>
    <xf numFmtId="0" fontId="65" fillId="35" borderId="98" xfId="210" applyFont="1" applyFill="1" applyBorder="1" applyAlignment="1">
      <alignment horizontal="center" vertical="center" wrapText="1"/>
    </xf>
    <xf numFmtId="0" fontId="86" fillId="0" borderId="123" xfId="210" applyFont="1" applyBorder="1" applyAlignment="1">
      <alignment horizontal="left" indent="1"/>
    </xf>
    <xf numFmtId="167" fontId="86" fillId="0" borderId="37" xfId="220" applyNumberFormat="1" applyFont="1" applyFill="1" applyBorder="1" applyAlignment="1">
      <alignment horizontal="center"/>
    </xf>
    <xf numFmtId="170" fontId="86" fillId="0" borderId="0" xfId="219" applyNumberFormat="1" applyFont="1" applyFill="1" applyBorder="1"/>
    <xf numFmtId="0" fontId="86" fillId="0" borderId="123" xfId="210" applyFont="1" applyBorder="1" applyAlignment="1">
      <alignment horizontal="left" vertical="justify" indent="1"/>
    </xf>
    <xf numFmtId="9" fontId="86" fillId="0" borderId="0" xfId="220" applyFont="1" applyFill="1" applyBorder="1"/>
    <xf numFmtId="0" fontId="86" fillId="0" borderId="107" xfId="210" applyFont="1" applyBorder="1" applyAlignment="1">
      <alignment horizontal="left" indent="1"/>
    </xf>
    <xf numFmtId="167" fontId="86" fillId="0" borderId="104" xfId="220" applyNumberFormat="1" applyFont="1" applyFill="1" applyBorder="1" applyAlignment="1">
      <alignment horizontal="center"/>
    </xf>
    <xf numFmtId="0" fontId="66" fillId="0" borderId="0" xfId="210" applyFont="1" applyAlignment="1">
      <alignment horizontal="center"/>
    </xf>
    <xf numFmtId="170" fontId="91" fillId="0" borderId="0" xfId="219" applyNumberFormat="1" applyFont="1" applyFill="1" applyBorder="1"/>
    <xf numFmtId="0" fontId="65" fillId="35" borderId="81" xfId="210" applyFont="1" applyFill="1" applyBorder="1"/>
    <xf numFmtId="0" fontId="65" fillId="35" borderId="82" xfId="210" applyFont="1" applyFill="1" applyBorder="1" applyAlignment="1">
      <alignment horizontal="center"/>
    </xf>
    <xf numFmtId="0" fontId="65" fillId="35" borderId="97" xfId="210" applyFont="1" applyFill="1" applyBorder="1" applyAlignment="1">
      <alignment horizontal="center"/>
    </xf>
    <xf numFmtId="0" fontId="65" fillId="35" borderId="98" xfId="210" applyFont="1" applyFill="1" applyBorder="1" applyAlignment="1">
      <alignment horizontal="center"/>
    </xf>
    <xf numFmtId="0" fontId="86" fillId="0" borderId="31" xfId="210" applyFont="1" applyBorder="1"/>
    <xf numFmtId="0" fontId="86" fillId="0" borderId="32" xfId="210" applyFont="1" applyBorder="1" applyAlignment="1">
      <alignment horizontal="center"/>
    </xf>
    <xf numFmtId="170" fontId="86" fillId="0" borderId="34" xfId="219" applyNumberFormat="1" applyFont="1" applyFill="1" applyBorder="1" applyAlignment="1">
      <alignment horizontal="right"/>
    </xf>
    <xf numFmtId="170" fontId="86" fillId="0" borderId="75" xfId="219" applyNumberFormat="1" applyFont="1" applyFill="1" applyBorder="1" applyAlignment="1">
      <alignment horizontal="right"/>
    </xf>
    <xf numFmtId="0" fontId="88" fillId="0" borderId="11" xfId="210" applyFont="1" applyBorder="1"/>
    <xf numFmtId="170" fontId="86" fillId="0" borderId="30" xfId="219" applyNumberFormat="1" applyFont="1" applyFill="1" applyBorder="1" applyAlignment="1">
      <alignment horizontal="right"/>
    </xf>
    <xf numFmtId="170" fontId="86" fillId="0" borderId="37" xfId="219" applyNumberFormat="1" applyFont="1" applyFill="1" applyBorder="1" applyAlignment="1">
      <alignment horizontal="right"/>
    </xf>
    <xf numFmtId="170" fontId="86" fillId="0" borderId="30" xfId="219" applyNumberFormat="1" applyFont="1" applyFill="1" applyBorder="1"/>
    <xf numFmtId="170" fontId="86" fillId="0" borderId="37" xfId="219" applyNumberFormat="1" applyFont="1" applyFill="1" applyBorder="1"/>
    <xf numFmtId="0" fontId="86" fillId="0" borderId="12" xfId="210" applyFont="1" applyBorder="1" applyAlignment="1">
      <alignment horizontal="center"/>
    </xf>
    <xf numFmtId="170" fontId="86" fillId="0" borderId="35" xfId="219" applyNumberFormat="1" applyFont="1" applyFill="1" applyBorder="1" applyAlignment="1">
      <alignment horizontal="right"/>
    </xf>
    <xf numFmtId="170" fontId="86" fillId="0" borderId="104" xfId="219" applyNumberFormat="1" applyFont="1" applyFill="1" applyBorder="1" applyAlignment="1">
      <alignment horizontal="right"/>
    </xf>
    <xf numFmtId="170" fontId="88" fillId="0" borderId="0" xfId="219" applyNumberFormat="1" applyFont="1" applyFill="1" applyBorder="1"/>
    <xf numFmtId="0" fontId="65" fillId="35" borderId="78" xfId="210" applyFont="1" applyFill="1" applyBorder="1"/>
    <xf numFmtId="0" fontId="88" fillId="0" borderId="97" xfId="210" applyFont="1" applyBorder="1" applyAlignment="1">
      <alignment horizontal="center"/>
    </xf>
    <xf numFmtId="170" fontId="88" fillId="0" borderId="97" xfId="210" applyNumberFormat="1" applyFont="1" applyBorder="1" applyAlignment="1">
      <alignment horizontal="center"/>
    </xf>
    <xf numFmtId="170" fontId="88" fillId="0" borderId="98" xfId="210" applyNumberFormat="1" applyFont="1" applyBorder="1" applyAlignment="1">
      <alignment horizontal="center"/>
    </xf>
    <xf numFmtId="0" fontId="86" fillId="0" borderId="97" xfId="210" applyFont="1" applyBorder="1" applyAlignment="1">
      <alignment horizontal="center"/>
    </xf>
    <xf numFmtId="170" fontId="86" fillId="0" borderId="97" xfId="219" applyNumberFormat="1" applyFont="1" applyFill="1" applyBorder="1"/>
    <xf numFmtId="9" fontId="86" fillId="0" borderId="97" xfId="220" applyFont="1" applyFill="1" applyBorder="1"/>
    <xf numFmtId="9" fontId="86" fillId="0" borderId="98" xfId="220" applyFont="1" applyFill="1" applyBorder="1"/>
    <xf numFmtId="171" fontId="88" fillId="0" borderId="0" xfId="219" applyNumberFormat="1" applyFont="1" applyFill="1" applyBorder="1"/>
    <xf numFmtId="0" fontId="86" fillId="0" borderId="82" xfId="210" applyFont="1" applyBorder="1" applyAlignment="1">
      <alignment horizontal="center"/>
    </xf>
    <xf numFmtId="0" fontId="66" fillId="0" borderId="0" xfId="210" applyFont="1" applyAlignment="1">
      <alignment horizontal="left"/>
    </xf>
    <xf numFmtId="170" fontId="86" fillId="0" borderId="0" xfId="210" applyNumberFormat="1" applyFont="1"/>
    <xf numFmtId="170" fontId="86" fillId="0" borderId="0" xfId="219" applyNumberFormat="1" applyFont="1" applyFill="1" applyBorder="1" applyAlignment="1">
      <alignment horizontal="center"/>
    </xf>
    <xf numFmtId="0" fontId="88" fillId="0" borderId="0" xfId="210" applyFont="1" applyAlignment="1">
      <alignment horizontal="center" vertical="center"/>
    </xf>
    <xf numFmtId="0" fontId="86" fillId="0" borderId="0" xfId="210" applyFont="1" applyAlignment="1">
      <alignment vertical="center"/>
    </xf>
    <xf numFmtId="0" fontId="88" fillId="0" borderId="0" xfId="210" applyFont="1" applyAlignment="1">
      <alignment vertical="center"/>
    </xf>
    <xf numFmtId="1" fontId="86" fillId="0" borderId="0" xfId="210" applyNumberFormat="1" applyFont="1" applyAlignment="1">
      <alignment vertical="center"/>
    </xf>
    <xf numFmtId="171" fontId="86" fillId="0" borderId="0" xfId="219" applyNumberFormat="1" applyFont="1" applyFill="1" applyBorder="1" applyAlignment="1">
      <alignment vertical="center"/>
    </xf>
    <xf numFmtId="0" fontId="86" fillId="0" borderId="0" xfId="210" applyFont="1" applyAlignment="1">
      <alignment horizontal="left" vertical="center"/>
    </xf>
    <xf numFmtId="0" fontId="88" fillId="0" borderId="0" xfId="210" applyFont="1" applyAlignment="1">
      <alignment horizontal="left" vertical="center"/>
    </xf>
    <xf numFmtId="187" fontId="86" fillId="0" borderId="0" xfId="219" applyNumberFormat="1" applyFont="1" applyFill="1" applyBorder="1" applyAlignment="1">
      <alignment vertical="center"/>
    </xf>
    <xf numFmtId="2" fontId="86" fillId="0" borderId="0" xfId="210" applyNumberFormat="1" applyFont="1" applyAlignment="1">
      <alignment vertical="center"/>
    </xf>
    <xf numFmtId="0" fontId="86" fillId="0" borderId="0" xfId="210" applyFont="1" applyAlignment="1">
      <alignment horizontal="right"/>
    </xf>
    <xf numFmtId="171" fontId="88" fillId="0" borderId="0" xfId="219" applyNumberFormat="1" applyFont="1" applyFill="1" applyBorder="1" applyAlignment="1">
      <alignment horizontal="right" vertical="center"/>
    </xf>
    <xf numFmtId="170" fontId="86" fillId="0" borderId="0" xfId="210" applyNumberFormat="1" applyFont="1" applyAlignment="1">
      <alignment vertical="center"/>
    </xf>
    <xf numFmtId="171" fontId="86" fillId="0" borderId="0" xfId="210" applyNumberFormat="1" applyFont="1" applyAlignment="1">
      <alignment vertical="center"/>
    </xf>
    <xf numFmtId="188" fontId="86" fillId="0" borderId="0" xfId="210" applyNumberFormat="1" applyFont="1" applyAlignment="1">
      <alignment horizontal="right"/>
    </xf>
    <xf numFmtId="0" fontId="86" fillId="0" borderId="0" xfId="210" applyFont="1" applyAlignment="1">
      <alignment horizontal="left" vertical="center" indent="2"/>
    </xf>
    <xf numFmtId="171" fontId="92" fillId="0" borderId="0" xfId="219" applyNumberFormat="1" applyFont="1" applyFill="1" applyBorder="1" applyAlignment="1">
      <alignment vertical="center"/>
    </xf>
    <xf numFmtId="170" fontId="74" fillId="0" borderId="0" xfId="210" applyNumberFormat="1" applyFont="1" applyAlignment="1">
      <alignment vertical="center"/>
    </xf>
    <xf numFmtId="3" fontId="86" fillId="0" borderId="0" xfId="210" applyNumberFormat="1" applyFont="1"/>
    <xf numFmtId="171" fontId="88" fillId="0" borderId="0" xfId="219" applyNumberFormat="1" applyFont="1" applyFill="1" applyBorder="1" applyAlignment="1">
      <alignment vertical="center"/>
    </xf>
    <xf numFmtId="0" fontId="88" fillId="0" borderId="0" xfId="210" applyFont="1" applyAlignment="1">
      <alignment horizontal="right"/>
    </xf>
    <xf numFmtId="167" fontId="88" fillId="0" borderId="0" xfId="218" applyNumberFormat="1" applyFont="1" applyFill="1" applyBorder="1"/>
    <xf numFmtId="171" fontId="88" fillId="0" borderId="0" xfId="210" applyNumberFormat="1" applyFont="1" applyAlignment="1">
      <alignment vertical="center"/>
    </xf>
    <xf numFmtId="188" fontId="86" fillId="0" borderId="0" xfId="210" applyNumberFormat="1" applyFont="1"/>
    <xf numFmtId="2" fontId="88" fillId="0" borderId="0" xfId="210" applyNumberFormat="1" applyFont="1"/>
    <xf numFmtId="174" fontId="88" fillId="0" borderId="0" xfId="218" applyNumberFormat="1" applyFont="1" applyFill="1" applyBorder="1" applyAlignment="1">
      <alignment horizontal="center"/>
    </xf>
    <xf numFmtId="0" fontId="86" fillId="0" borderId="0" xfId="210" applyFont="1" applyAlignment="1">
      <alignment horizontal="center" vertical="center"/>
    </xf>
    <xf numFmtId="171" fontId="86" fillId="0" borderId="0" xfId="210" applyNumberFormat="1" applyFont="1" applyAlignment="1">
      <alignment horizontal="center" vertical="center"/>
    </xf>
    <xf numFmtId="1" fontId="88" fillId="0" borderId="0" xfId="218" applyNumberFormat="1" applyFont="1" applyFill="1" applyBorder="1" applyAlignment="1">
      <alignment horizontal="center"/>
    </xf>
    <xf numFmtId="175" fontId="88" fillId="0" borderId="0" xfId="210" applyNumberFormat="1" applyFont="1" applyAlignment="1">
      <alignment horizontal="center" vertical="center"/>
    </xf>
    <xf numFmtId="0" fontId="91" fillId="39" borderId="0" xfId="210" applyFont="1" applyFill="1"/>
    <xf numFmtId="188" fontId="91" fillId="0" borderId="0" xfId="210" applyNumberFormat="1" applyFont="1" applyAlignment="1">
      <alignment horizontal="right"/>
    </xf>
    <xf numFmtId="10" fontId="86" fillId="0" borderId="0" xfId="218" applyNumberFormat="1" applyFont="1" applyFill="1" applyBorder="1" applyAlignment="1">
      <alignment horizontal="center"/>
    </xf>
    <xf numFmtId="10" fontId="86" fillId="0" borderId="0" xfId="210" applyNumberFormat="1" applyFont="1" applyAlignment="1">
      <alignment horizontal="center"/>
    </xf>
    <xf numFmtId="10" fontId="86" fillId="0" borderId="0" xfId="210" applyNumberFormat="1" applyFont="1"/>
    <xf numFmtId="171" fontId="86" fillId="0" borderId="0" xfId="219" applyNumberFormat="1" applyFont="1" applyFill="1" applyBorder="1" applyAlignment="1">
      <alignment horizontal="center"/>
    </xf>
    <xf numFmtId="171" fontId="86" fillId="0" borderId="0" xfId="219" applyNumberFormat="1" applyFont="1" applyFill="1" applyBorder="1" applyAlignment="1">
      <alignment horizontal="right"/>
    </xf>
    <xf numFmtId="0" fontId="88" fillId="0" borderId="0" xfId="210" applyFont="1" applyAlignment="1">
      <alignment wrapText="1"/>
    </xf>
    <xf numFmtId="1" fontId="86" fillId="0" borderId="0" xfId="210" applyNumberFormat="1" applyFont="1"/>
    <xf numFmtId="1" fontId="86" fillId="24" borderId="0" xfId="210" applyNumberFormat="1" applyFont="1" applyFill="1"/>
    <xf numFmtId="0" fontId="88" fillId="24" borderId="0" xfId="210" applyFont="1" applyFill="1"/>
    <xf numFmtId="171" fontId="88" fillId="24" borderId="0" xfId="219" applyNumberFormat="1" applyFont="1" applyFill="1" applyBorder="1"/>
    <xf numFmtId="171" fontId="78" fillId="32" borderId="19" xfId="210" applyNumberFormat="1" applyFont="1" applyFill="1" applyBorder="1"/>
    <xf numFmtId="171" fontId="78" fillId="32" borderId="29" xfId="210" applyNumberFormat="1" applyFont="1" applyFill="1" applyBorder="1"/>
    <xf numFmtId="3" fontId="77" fillId="32" borderId="39" xfId="173" applyNumberFormat="1" applyFont="1" applyFill="1" applyBorder="1"/>
    <xf numFmtId="0" fontId="10" fillId="0" borderId="0" xfId="0" applyFont="1" applyAlignment="1">
      <alignment vertical="center" wrapText="1"/>
    </xf>
    <xf numFmtId="43" fontId="15" fillId="0" borderId="132" xfId="40" applyFont="1" applyFill="1" applyBorder="1"/>
    <xf numFmtId="4" fontId="0" fillId="24" borderId="81" xfId="0" applyNumberFormat="1" applyFill="1" applyBorder="1"/>
    <xf numFmtId="0" fontId="58" fillId="28" borderId="82" xfId="0" applyFont="1" applyFill="1" applyBorder="1" applyAlignment="1">
      <alignment wrapText="1"/>
    </xf>
    <xf numFmtId="0" fontId="45" fillId="0" borderId="58" xfId="0" applyFont="1" applyBorder="1" applyAlignment="1">
      <alignment horizontal="center"/>
    </xf>
    <xf numFmtId="39" fontId="57" fillId="28" borderId="76" xfId="0" applyNumberFormat="1" applyFont="1" applyFill="1" applyBorder="1"/>
    <xf numFmtId="43" fontId="57" fillId="35" borderId="49" xfId="40" applyFont="1" applyFill="1" applyBorder="1" applyAlignment="1">
      <alignment horizontal="right"/>
    </xf>
    <xf numFmtId="170" fontId="57" fillId="35" borderId="123" xfId="0" applyNumberFormat="1" applyFont="1" applyFill="1" applyBorder="1"/>
    <xf numFmtId="3" fontId="81" fillId="0" borderId="0" xfId="212" applyNumberFormat="1" applyFont="1"/>
    <xf numFmtId="0" fontId="81" fillId="0" borderId="0" xfId="212" applyFont="1" applyAlignment="1">
      <alignment horizontal="left" indent="1"/>
    </xf>
    <xf numFmtId="0" fontId="93" fillId="35" borderId="0" xfId="0" applyFont="1" applyFill="1" applyAlignment="1">
      <alignment horizontal="center" vertical="center"/>
    </xf>
    <xf numFmtId="0" fontId="93" fillId="35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left" indent="1"/>
    </xf>
    <xf numFmtId="3" fontId="63" fillId="37" borderId="0" xfId="0" applyNumberFormat="1" applyFont="1" applyFill="1" applyAlignment="1">
      <alignment horizontal="center"/>
    </xf>
    <xf numFmtId="3" fontId="63" fillId="1" borderId="0" xfId="0" applyNumberFormat="1" applyFont="1" applyFill="1" applyAlignment="1">
      <alignment horizontal="center"/>
    </xf>
    <xf numFmtId="3" fontId="63" fillId="0" borderId="0" xfId="0" applyNumberFormat="1" applyFont="1" applyAlignment="1">
      <alignment horizontal="center"/>
    </xf>
    <xf numFmtId="9" fontId="63" fillId="0" borderId="0" xfId="57" applyFont="1" applyAlignment="1">
      <alignment horizontal="center"/>
    </xf>
    <xf numFmtId="185" fontId="63" fillId="0" borderId="0" xfId="0" applyNumberFormat="1" applyFont="1" applyAlignment="1">
      <alignment horizontal="center"/>
    </xf>
    <xf numFmtId="0" fontId="63" fillId="1" borderId="0" xfId="0" applyFont="1" applyFill="1" applyAlignment="1">
      <alignment horizontal="center"/>
    </xf>
    <xf numFmtId="0" fontId="94" fillId="31" borderId="0" xfId="0" applyFont="1" applyFill="1" applyAlignment="1">
      <alignment horizontal="left" indent="1"/>
    </xf>
    <xf numFmtId="3" fontId="94" fillId="31" borderId="0" xfId="0" applyNumberFormat="1" applyFont="1" applyFill="1" applyAlignment="1">
      <alignment horizontal="center"/>
    </xf>
    <xf numFmtId="185" fontId="94" fillId="31" borderId="0" xfId="0" applyNumberFormat="1" applyFont="1" applyFill="1" applyAlignment="1">
      <alignment horizontal="center"/>
    </xf>
    <xf numFmtId="9" fontId="94" fillId="31" borderId="0" xfId="57" applyFont="1" applyFill="1" applyAlignment="1">
      <alignment horizontal="center"/>
    </xf>
    <xf numFmtId="43" fontId="7" fillId="0" borderId="0" xfId="40" applyFont="1"/>
    <xf numFmtId="0" fontId="64" fillId="0" borderId="0" xfId="0" applyFont="1"/>
    <xf numFmtId="0" fontId="65" fillId="34" borderId="0" xfId="0" applyFont="1" applyFill="1"/>
    <xf numFmtId="0" fontId="66" fillId="34" borderId="0" xfId="0" applyFont="1" applyFill="1"/>
    <xf numFmtId="171" fontId="95" fillId="32" borderId="30" xfId="219" applyNumberFormat="1" applyFont="1" applyFill="1" applyBorder="1"/>
    <xf numFmtId="171" fontId="95" fillId="32" borderId="37" xfId="219" applyNumberFormat="1" applyFont="1" applyFill="1" applyBorder="1"/>
    <xf numFmtId="171" fontId="96" fillId="32" borderId="30" xfId="219" applyNumberFormat="1" applyFont="1" applyFill="1" applyBorder="1"/>
    <xf numFmtId="171" fontId="96" fillId="32" borderId="37" xfId="219" applyNumberFormat="1" applyFont="1" applyFill="1" applyBorder="1"/>
    <xf numFmtId="0" fontId="95" fillId="32" borderId="19" xfId="210" applyFont="1" applyFill="1" applyBorder="1"/>
    <xf numFmtId="171" fontId="84" fillId="32" borderId="19" xfId="210" applyNumberFormat="1" applyFont="1" applyFill="1" applyBorder="1"/>
    <xf numFmtId="171" fontId="84" fillId="32" borderId="29" xfId="210" applyNumberFormat="1" applyFont="1" applyFill="1" applyBorder="1"/>
    <xf numFmtId="0" fontId="78" fillId="32" borderId="76" xfId="0" applyFont="1" applyFill="1" applyBorder="1" applyAlignment="1">
      <alignment horizontal="center" vertical="center" wrapText="1"/>
    </xf>
    <xf numFmtId="0" fontId="86" fillId="0" borderId="0" xfId="0" applyFont="1"/>
    <xf numFmtId="0" fontId="65" fillId="0" borderId="0" xfId="0" applyFont="1" applyAlignment="1">
      <alignment horizontal="left" indent="1"/>
    </xf>
    <xf numFmtId="0" fontId="65" fillId="34" borderId="0" xfId="0" applyFont="1" applyFill="1" applyAlignment="1">
      <alignment horizontal="left" indent="1"/>
    </xf>
    <xf numFmtId="167" fontId="90" fillId="0" borderId="0" xfId="220" applyNumberFormat="1" applyFont="1"/>
    <xf numFmtId="41" fontId="64" fillId="41" borderId="0" xfId="0" applyNumberFormat="1" applyFont="1" applyFill="1"/>
    <xf numFmtId="171" fontId="64" fillId="0" borderId="0" xfId="0" applyNumberFormat="1" applyFont="1"/>
    <xf numFmtId="164" fontId="64" fillId="0" borderId="0" xfId="0" applyNumberFormat="1" applyFont="1"/>
    <xf numFmtId="171" fontId="90" fillId="0" borderId="0" xfId="0" applyNumberFormat="1" applyFont="1"/>
    <xf numFmtId="167" fontId="64" fillId="0" borderId="0" xfId="220" applyNumberFormat="1" applyFont="1"/>
    <xf numFmtId="0" fontId="64" fillId="24" borderId="0" xfId="0" applyFont="1" applyFill="1"/>
    <xf numFmtId="171" fontId="91" fillId="0" borderId="0" xfId="0" applyNumberFormat="1" applyFont="1"/>
    <xf numFmtId="9" fontId="64" fillId="0" borderId="0" xfId="220" applyFont="1"/>
    <xf numFmtId="0" fontId="64" fillId="30" borderId="0" xfId="0" applyFont="1" applyFill="1"/>
    <xf numFmtId="167" fontId="87" fillId="0" borderId="0" xfId="220" applyNumberFormat="1" applyFont="1"/>
    <xf numFmtId="167" fontId="86" fillId="0" borderId="0" xfId="220" applyNumberFormat="1" applyFont="1"/>
    <xf numFmtId="0" fontId="97" fillId="30" borderId="0" xfId="0" applyFont="1" applyFill="1" applyAlignment="1">
      <alignment horizontal="left" indent="1"/>
    </xf>
    <xf numFmtId="0" fontId="64" fillId="0" borderId="0" xfId="0" applyFont="1" applyAlignment="1">
      <alignment horizontal="left"/>
    </xf>
    <xf numFmtId="167" fontId="86" fillId="30" borderId="0" xfId="0" applyNumberFormat="1" applyFont="1" applyFill="1" applyAlignment="1">
      <alignment horizontal="center"/>
    </xf>
    <xf numFmtId="0" fontId="86" fillId="30" borderId="0" xfId="0" applyFont="1" applyFill="1" applyAlignment="1">
      <alignment horizontal="left"/>
    </xf>
    <xf numFmtId="0" fontId="74" fillId="30" borderId="0" xfId="0" applyFont="1" applyFill="1" applyAlignment="1">
      <alignment horizontal="left" indent="2"/>
    </xf>
    <xf numFmtId="9" fontId="98" fillId="30" borderId="0" xfId="0" applyNumberFormat="1" applyFont="1" applyFill="1" applyAlignment="1">
      <alignment horizontal="center"/>
    </xf>
    <xf numFmtId="9" fontId="75" fillId="0" borderId="0" xfId="0" applyNumberFormat="1" applyFont="1" applyAlignment="1">
      <alignment horizontal="center"/>
    </xf>
    <xf numFmtId="0" fontId="65" fillId="38" borderId="0" xfId="0" applyFont="1" applyFill="1" applyAlignment="1">
      <alignment horizontal="left" indent="1"/>
    </xf>
    <xf numFmtId="0" fontId="65" fillId="38" borderId="0" xfId="0" applyFont="1" applyFill="1"/>
    <xf numFmtId="0" fontId="64" fillId="0" borderId="0" xfId="0" applyFont="1" applyAlignment="1">
      <alignment horizontal="left" indent="1"/>
    </xf>
    <xf numFmtId="167" fontId="86" fillId="0" borderId="0" xfId="0" applyNumberFormat="1" applyFont="1"/>
    <xf numFmtId="0" fontId="65" fillId="38" borderId="0" xfId="0" applyFont="1" applyFill="1" applyAlignment="1">
      <alignment horizontal="left" indent="2"/>
    </xf>
    <xf numFmtId="0" fontId="75" fillId="0" borderId="0" xfId="0" applyFont="1" applyAlignment="1">
      <alignment horizontal="left" indent="3"/>
    </xf>
    <xf numFmtId="171" fontId="75" fillId="0" borderId="0" xfId="0" applyNumberFormat="1" applyFont="1"/>
    <xf numFmtId="171" fontId="87" fillId="0" borderId="0" xfId="0" applyNumberFormat="1" applyFont="1"/>
    <xf numFmtId="0" fontId="86" fillId="0" borderId="0" xfId="0" applyFont="1" applyAlignment="1">
      <alignment horizontal="left" indent="1"/>
    </xf>
    <xf numFmtId="0" fontId="86" fillId="30" borderId="0" xfId="0" applyFont="1" applyFill="1" applyAlignment="1">
      <alignment horizontal="left" indent="1"/>
    </xf>
    <xf numFmtId="170" fontId="91" fillId="0" borderId="0" xfId="0" applyNumberFormat="1" applyFont="1"/>
    <xf numFmtId="43" fontId="64" fillId="0" borderId="0" xfId="0" applyNumberFormat="1" applyFont="1"/>
    <xf numFmtId="0" fontId="99" fillId="0" borderId="0" xfId="0" applyFont="1"/>
    <xf numFmtId="171" fontId="99" fillId="0" borderId="0" xfId="0" applyNumberFormat="1" applyFont="1"/>
    <xf numFmtId="9" fontId="91" fillId="0" borderId="0" xfId="0" applyNumberFormat="1" applyFont="1"/>
    <xf numFmtId="170" fontId="64" fillId="0" borderId="0" xfId="0" applyNumberFormat="1" applyFont="1"/>
    <xf numFmtId="10" fontId="64" fillId="0" borderId="0" xfId="220" applyNumberFormat="1" applyFont="1"/>
    <xf numFmtId="43" fontId="64" fillId="0" borderId="0" xfId="40" applyFont="1"/>
    <xf numFmtId="167" fontId="64" fillId="0" borderId="0" xfId="0" applyNumberFormat="1" applyFont="1"/>
    <xf numFmtId="0" fontId="64" fillId="30" borderId="0" xfId="0" applyFont="1" applyFill="1" applyAlignment="1">
      <alignment horizontal="center"/>
    </xf>
    <xf numFmtId="0" fontId="65" fillId="34" borderId="0" xfId="0" applyFont="1" applyFill="1" applyAlignment="1">
      <alignment horizontal="right"/>
    </xf>
    <xf numFmtId="0" fontId="64" fillId="0" borderId="0" xfId="0" applyFont="1" applyAlignment="1">
      <alignment horizontal="center"/>
    </xf>
    <xf numFmtId="0" fontId="10" fillId="24" borderId="0" xfId="0" applyFont="1" applyFill="1" applyAlignment="1">
      <alignment horizontal="center"/>
    </xf>
    <xf numFmtId="0" fontId="65" fillId="34" borderId="0" xfId="0" applyFont="1" applyFill="1" applyAlignment="1">
      <alignment horizontal="left" indent="2"/>
    </xf>
    <xf numFmtId="0" fontId="64" fillId="24" borderId="0" xfId="0" applyFont="1" applyFill="1" applyAlignment="1">
      <alignment horizontal="center"/>
    </xf>
    <xf numFmtId="0" fontId="11" fillId="40" borderId="0" xfId="0" applyFont="1" applyFill="1"/>
    <xf numFmtId="171" fontId="99" fillId="40" borderId="0" xfId="0" applyNumberFormat="1" applyFont="1" applyFill="1"/>
    <xf numFmtId="171" fontId="86" fillId="0" borderId="0" xfId="0" applyNumberFormat="1" applyFont="1"/>
    <xf numFmtId="9" fontId="74" fillId="0" borderId="0" xfId="0" applyNumberFormat="1" applyFont="1"/>
    <xf numFmtId="9" fontId="75" fillId="0" borderId="0" xfId="0" applyNumberFormat="1" applyFont="1"/>
    <xf numFmtId="9" fontId="64" fillId="0" borderId="0" xfId="0" applyNumberFormat="1" applyFont="1"/>
    <xf numFmtId="0" fontId="66" fillId="38" borderId="0" xfId="0" applyFont="1" applyFill="1"/>
    <xf numFmtId="0" fontId="64" fillId="38" borderId="0" xfId="0" applyFont="1" applyFill="1"/>
    <xf numFmtId="9" fontId="64" fillId="0" borderId="0" xfId="220" applyFont="1" applyFill="1"/>
    <xf numFmtId="9" fontId="87" fillId="0" borderId="0" xfId="220" applyFont="1" applyFill="1"/>
    <xf numFmtId="0" fontId="87" fillId="38" borderId="0" xfId="0" applyFont="1" applyFill="1"/>
    <xf numFmtId="3" fontId="64" fillId="0" borderId="0" xfId="0" applyNumberFormat="1" applyFont="1"/>
    <xf numFmtId="0" fontId="64" fillId="40" borderId="0" xfId="0" applyFont="1" applyFill="1"/>
    <xf numFmtId="9" fontId="64" fillId="40" borderId="0" xfId="220" applyFont="1" applyFill="1"/>
    <xf numFmtId="170" fontId="64" fillId="40" borderId="0" xfId="0" applyNumberFormat="1" applyFont="1" applyFill="1"/>
    <xf numFmtId="10" fontId="87" fillId="0" borderId="0" xfId="0" applyNumberFormat="1" applyFont="1"/>
    <xf numFmtId="10" fontId="64" fillId="0" borderId="0" xfId="0" applyNumberFormat="1" applyFont="1"/>
    <xf numFmtId="0" fontId="99" fillId="36" borderId="0" xfId="0" applyFont="1" applyFill="1"/>
    <xf numFmtId="171" fontId="99" fillId="36" borderId="0" xfId="0" applyNumberFormat="1" applyFont="1" applyFill="1"/>
    <xf numFmtId="0" fontId="99" fillId="33" borderId="0" xfId="0" applyFont="1" applyFill="1"/>
    <xf numFmtId="171" fontId="99" fillId="33" borderId="0" xfId="0" applyNumberFormat="1" applyFont="1" applyFill="1"/>
    <xf numFmtId="0" fontId="83" fillId="0" borderId="0" xfId="0" applyFont="1"/>
    <xf numFmtId="0" fontId="65" fillId="35" borderId="0" xfId="0" applyFont="1" applyFill="1"/>
    <xf numFmtId="189" fontId="90" fillId="0" borderId="0" xfId="0" applyNumberFormat="1" applyFont="1" applyAlignment="1">
      <alignment horizontal="center"/>
    </xf>
    <xf numFmtId="3" fontId="0" fillId="0" borderId="0" xfId="0" applyNumberFormat="1"/>
    <xf numFmtId="0" fontId="88" fillId="0" borderId="0" xfId="0" applyFont="1" applyAlignment="1">
      <alignment horizontal="center"/>
    </xf>
    <xf numFmtId="167" fontId="87" fillId="0" borderId="0" xfId="220" applyNumberFormat="1" applyFont="1" applyFill="1" applyBorder="1" applyAlignment="1">
      <alignment horizontal="center"/>
    </xf>
    <xf numFmtId="10" fontId="64" fillId="0" borderId="0" xfId="220" applyNumberFormat="1" applyFont="1" applyFill="1" applyBorder="1"/>
    <xf numFmtId="10" fontId="64" fillId="30" borderId="0" xfId="220" applyNumberFormat="1" applyFont="1" applyFill="1" applyBorder="1"/>
    <xf numFmtId="171" fontId="100" fillId="0" borderId="0" xfId="0" applyNumberFormat="1" applyFont="1"/>
    <xf numFmtId="0" fontId="100" fillId="32" borderId="19" xfId="0" applyFont="1" applyFill="1" applyBorder="1"/>
    <xf numFmtId="171" fontId="101" fillId="32" borderId="19" xfId="0" applyNumberFormat="1" applyFont="1" applyFill="1" applyBorder="1"/>
    <xf numFmtId="171" fontId="100" fillId="32" borderId="19" xfId="0" applyNumberFormat="1" applyFont="1" applyFill="1" applyBorder="1"/>
    <xf numFmtId="171" fontId="88" fillId="32" borderId="30" xfId="210" applyNumberFormat="1" applyFont="1" applyFill="1" applyBorder="1"/>
    <xf numFmtId="0" fontId="65" fillId="35" borderId="118" xfId="210" applyFont="1" applyFill="1" applyBorder="1"/>
    <xf numFmtId="0" fontId="65" fillId="35" borderId="34" xfId="210" applyFont="1" applyFill="1" applyBorder="1" applyAlignment="1">
      <alignment horizontal="center"/>
    </xf>
    <xf numFmtId="0" fontId="86" fillId="24" borderId="128" xfId="210" applyFont="1" applyFill="1" applyBorder="1"/>
    <xf numFmtId="0" fontId="86" fillId="24" borderId="44" xfId="210" applyFont="1" applyFill="1" applyBorder="1" applyAlignment="1">
      <alignment horizontal="center"/>
    </xf>
    <xf numFmtId="179" fontId="86" fillId="0" borderId="30" xfId="40" applyNumberFormat="1" applyFont="1" applyBorder="1"/>
    <xf numFmtId="184" fontId="86" fillId="24" borderId="35" xfId="216" applyNumberFormat="1" applyFont="1" applyFill="1" applyBorder="1"/>
    <xf numFmtId="184" fontId="86" fillId="24" borderId="44" xfId="216" applyNumberFormat="1" applyFont="1" applyFill="1" applyBorder="1"/>
    <xf numFmtId="10" fontId="86" fillId="0" borderId="0" xfId="173" applyNumberFormat="1" applyFont="1"/>
    <xf numFmtId="170" fontId="86" fillId="0" borderId="0" xfId="40" applyNumberFormat="1" applyFont="1"/>
    <xf numFmtId="164" fontId="86" fillId="0" borderId="0" xfId="173" applyNumberFormat="1" applyFont="1"/>
    <xf numFmtId="0" fontId="4" fillId="0" borderId="0" xfId="221"/>
    <xf numFmtId="0" fontId="11" fillId="24" borderId="81" xfId="222" applyFont="1" applyFill="1" applyBorder="1" applyAlignment="1">
      <alignment horizontal="center" vertical="center" wrapText="1"/>
    </xf>
    <xf numFmtId="0" fontId="102" fillId="24" borderId="97" xfId="221" applyFont="1" applyFill="1" applyBorder="1" applyAlignment="1">
      <alignment horizontal="center" vertical="center"/>
    </xf>
    <xf numFmtId="0" fontId="102" fillId="24" borderId="82" xfId="221" applyFont="1" applyFill="1" applyBorder="1" applyAlignment="1">
      <alignment horizontal="center" vertical="center"/>
    </xf>
    <xf numFmtId="0" fontId="11" fillId="24" borderId="97" xfId="221" applyFont="1" applyFill="1" applyBorder="1" applyAlignment="1">
      <alignment horizontal="center" vertical="center" wrapText="1"/>
    </xf>
    <xf numFmtId="0" fontId="102" fillId="24" borderId="98" xfId="221" applyFont="1" applyFill="1" applyBorder="1" applyAlignment="1">
      <alignment horizontal="center" vertical="center" wrapText="1"/>
    </xf>
    <xf numFmtId="0" fontId="10" fillId="24" borderId="45" xfId="222" applyFont="1" applyFill="1" applyBorder="1" applyAlignment="1">
      <alignment horizontal="center"/>
    </xf>
    <xf numFmtId="0" fontId="10" fillId="24" borderId="99" xfId="221" applyFont="1" applyFill="1" applyBorder="1"/>
    <xf numFmtId="170" fontId="10" fillId="24" borderId="62" xfId="223" applyNumberFormat="1" applyFont="1" applyFill="1" applyBorder="1"/>
    <xf numFmtId="3" fontId="4" fillId="0" borderId="37" xfId="221" applyNumberFormat="1" applyBorder="1"/>
    <xf numFmtId="170" fontId="10" fillId="24" borderId="102" xfId="223" applyNumberFormat="1" applyFont="1" applyFill="1" applyBorder="1"/>
    <xf numFmtId="0" fontId="10" fillId="24" borderId="94" xfId="222" applyFont="1" applyFill="1" applyBorder="1" applyAlignment="1">
      <alignment horizontal="center"/>
    </xf>
    <xf numFmtId="0" fontId="10" fillId="24" borderId="38" xfId="221" applyFont="1" applyFill="1" applyBorder="1"/>
    <xf numFmtId="3" fontId="4" fillId="0" borderId="50" xfId="221" applyNumberFormat="1" applyBorder="1"/>
    <xf numFmtId="0" fontId="10" fillId="24" borderId="68" xfId="221" applyFont="1" applyFill="1" applyBorder="1"/>
    <xf numFmtId="170" fontId="10" fillId="24" borderId="50" xfId="223" applyNumberFormat="1" applyFont="1" applyFill="1" applyBorder="1"/>
    <xf numFmtId="183" fontId="4" fillId="0" borderId="0" xfId="221" applyNumberFormat="1"/>
    <xf numFmtId="170" fontId="10" fillId="24" borderId="63" xfId="223" applyNumberFormat="1" applyFont="1" applyFill="1" applyBorder="1"/>
    <xf numFmtId="190" fontId="10" fillId="24" borderId="38" xfId="224" applyNumberFormat="1" applyFont="1" applyFill="1" applyBorder="1"/>
    <xf numFmtId="0" fontId="10" fillId="24" borderId="133" xfId="222" applyFont="1" applyFill="1" applyBorder="1" applyAlignment="1">
      <alignment horizontal="center"/>
    </xf>
    <xf numFmtId="0" fontId="10" fillId="24" borderId="73" xfId="221" applyFont="1" applyFill="1" applyBorder="1"/>
    <xf numFmtId="170" fontId="10" fillId="24" borderId="90" xfId="223" applyNumberFormat="1" applyFont="1" applyFill="1" applyBorder="1"/>
    <xf numFmtId="3" fontId="4" fillId="0" borderId="134" xfId="221" applyNumberFormat="1" applyBorder="1"/>
    <xf numFmtId="170" fontId="10" fillId="24" borderId="134" xfId="223" applyNumberFormat="1" applyFont="1" applyFill="1" applyBorder="1"/>
    <xf numFmtId="0" fontId="10" fillId="24" borderId="94" xfId="222" applyFill="1" applyBorder="1" applyAlignment="1">
      <alignment horizontal="center"/>
    </xf>
    <xf numFmtId="0" fontId="104" fillId="24" borderId="68" xfId="221" applyFont="1" applyFill="1" applyBorder="1"/>
    <xf numFmtId="0" fontId="104" fillId="24" borderId="63" xfId="223" applyNumberFormat="1" applyFont="1" applyFill="1" applyBorder="1" applyAlignment="1" applyProtection="1">
      <alignment horizontal="center" vertical="center"/>
    </xf>
    <xf numFmtId="43" fontId="10" fillId="24" borderId="68" xfId="223" applyNumberFormat="1" applyFont="1" applyFill="1" applyBorder="1"/>
    <xf numFmtId="0" fontId="10" fillId="24" borderId="116" xfId="222" applyFill="1" applyBorder="1" applyAlignment="1">
      <alignment horizontal="center"/>
    </xf>
    <xf numFmtId="0" fontId="102" fillId="24" borderId="84" xfId="221" applyFont="1" applyFill="1" applyBorder="1" applyAlignment="1">
      <alignment horizontal="center"/>
    </xf>
    <xf numFmtId="0" fontId="104" fillId="24" borderId="85" xfId="223" applyNumberFormat="1" applyFont="1" applyFill="1" applyBorder="1" applyAlignment="1" applyProtection="1">
      <alignment horizontal="center" vertical="center"/>
    </xf>
    <xf numFmtId="43" fontId="10" fillId="24" borderId="84" xfId="223" applyNumberFormat="1" applyFont="1" applyFill="1" applyBorder="1"/>
    <xf numFmtId="170" fontId="11" fillId="24" borderId="119" xfId="223" applyNumberFormat="1" applyFont="1" applyFill="1" applyBorder="1"/>
    <xf numFmtId="0" fontId="10" fillId="24" borderId="53" xfId="222" applyFill="1" applyBorder="1" applyAlignment="1">
      <alignment horizontal="center"/>
    </xf>
    <xf numFmtId="0" fontId="102" fillId="24" borderId="100" xfId="221" applyFont="1" applyFill="1" applyBorder="1" applyAlignment="1">
      <alignment horizontal="center" vertical="center" wrapText="1"/>
    </xf>
    <xf numFmtId="0" fontId="104" fillId="24" borderId="61" xfId="223" applyNumberFormat="1" applyFont="1" applyFill="1" applyBorder="1" applyAlignment="1" applyProtection="1">
      <alignment horizontal="center" vertical="center"/>
    </xf>
    <xf numFmtId="43" fontId="10" fillId="24" borderId="100" xfId="223" applyNumberFormat="1" applyFont="1" applyFill="1" applyBorder="1"/>
    <xf numFmtId="170" fontId="11" fillId="24" borderId="101" xfId="223" applyNumberFormat="1" applyFont="1" applyFill="1" applyBorder="1"/>
    <xf numFmtId="0" fontId="10" fillId="24" borderId="45" xfId="222" applyFill="1" applyBorder="1" applyAlignment="1">
      <alignment horizontal="center"/>
    </xf>
    <xf numFmtId="0" fontId="104" fillId="24" borderId="99" xfId="221" applyFont="1" applyFill="1" applyBorder="1"/>
    <xf numFmtId="170" fontId="104" fillId="24" borderId="60" xfId="223" applyNumberFormat="1" applyFont="1" applyFill="1" applyBorder="1" applyAlignment="1" applyProtection="1">
      <alignment horizontal="center"/>
    </xf>
    <xf numFmtId="43" fontId="10" fillId="24" borderId="99" xfId="223" applyNumberFormat="1" applyFont="1" applyFill="1" applyBorder="1" applyAlignment="1">
      <alignment horizontal="center" vertical="center" wrapText="1"/>
    </xf>
    <xf numFmtId="170" fontId="10" fillId="24" borderId="46" xfId="223" applyNumberFormat="1" applyFont="1" applyFill="1" applyBorder="1"/>
    <xf numFmtId="0" fontId="10" fillId="24" borderId="49" xfId="222" applyFill="1" applyBorder="1" applyAlignment="1">
      <alignment horizontal="center"/>
    </xf>
    <xf numFmtId="0" fontId="104" fillId="24" borderId="38" xfId="221" applyFont="1" applyFill="1" applyBorder="1"/>
    <xf numFmtId="0" fontId="104" fillId="24" borderId="62" xfId="221" applyFont="1" applyFill="1" applyBorder="1" applyAlignment="1">
      <alignment horizontal="center"/>
    </xf>
    <xf numFmtId="2" fontId="104" fillId="24" borderId="38" xfId="221" applyNumberFormat="1" applyFont="1" applyFill="1" applyBorder="1" applyAlignment="1">
      <alignment horizontal="right"/>
    </xf>
    <xf numFmtId="170" fontId="10" fillId="24" borderId="50" xfId="223" applyNumberFormat="1" applyFont="1" applyFill="1" applyBorder="1" applyAlignment="1">
      <alignment horizontal="center" vertical="center"/>
    </xf>
    <xf numFmtId="0" fontId="102" fillId="24" borderId="100" xfId="221" applyFont="1" applyFill="1" applyBorder="1" applyAlignment="1">
      <alignment horizontal="center"/>
    </xf>
    <xf numFmtId="0" fontId="102" fillId="24" borderId="61" xfId="221" applyFont="1" applyFill="1" applyBorder="1" applyAlignment="1">
      <alignment horizontal="center"/>
    </xf>
    <xf numFmtId="0" fontId="10" fillId="24" borderId="100" xfId="221" applyFont="1" applyFill="1" applyBorder="1"/>
    <xf numFmtId="0" fontId="104" fillId="24" borderId="60" xfId="221" applyFont="1" applyFill="1" applyBorder="1" applyAlignment="1">
      <alignment horizontal="center"/>
    </xf>
    <xf numFmtId="0" fontId="10" fillId="24" borderId="99" xfId="221" applyFont="1" applyFill="1" applyBorder="1" applyAlignment="1">
      <alignment horizontal="center" vertical="center" wrapText="1"/>
    </xf>
    <xf numFmtId="2" fontId="10" fillId="24" borderId="68" xfId="221" applyNumberFormat="1" applyFont="1" applyFill="1" applyBorder="1"/>
    <xf numFmtId="0" fontId="104" fillId="24" borderId="62" xfId="221" applyFont="1" applyFill="1" applyBorder="1"/>
    <xf numFmtId="164" fontId="0" fillId="0" borderId="0" xfId="223" applyFont="1"/>
    <xf numFmtId="0" fontId="104" fillId="24" borderId="60" xfId="221" applyFont="1" applyFill="1" applyBorder="1"/>
    <xf numFmtId="170" fontId="105" fillId="24" borderId="46" xfId="223" applyNumberFormat="1" applyFont="1" applyFill="1" applyBorder="1"/>
    <xf numFmtId="2" fontId="10" fillId="24" borderId="38" xfId="225" applyNumberFormat="1" applyFont="1" applyFill="1" applyBorder="1"/>
    <xf numFmtId="0" fontId="4" fillId="24" borderId="30" xfId="221" applyFill="1" applyBorder="1"/>
    <xf numFmtId="0" fontId="10" fillId="24" borderId="13" xfId="222" applyFont="1" applyFill="1" applyBorder="1" applyAlignment="1">
      <alignment horizontal="center"/>
    </xf>
    <xf numFmtId="0" fontId="4" fillId="24" borderId="35" xfId="221" applyFill="1" applyBorder="1"/>
    <xf numFmtId="0" fontId="104" fillId="24" borderId="61" xfId="221" applyFont="1" applyFill="1" applyBorder="1" applyAlignment="1">
      <alignment horizontal="center"/>
    </xf>
    <xf numFmtId="188" fontId="10" fillId="24" borderId="100" xfId="225" applyNumberFormat="1" applyFont="1" applyFill="1" applyBorder="1"/>
    <xf numFmtId="170" fontId="10" fillId="24" borderId="101" xfId="223" applyNumberFormat="1" applyFont="1" applyFill="1" applyBorder="1"/>
    <xf numFmtId="0" fontId="106" fillId="24" borderId="100" xfId="221" applyFont="1" applyFill="1" applyBorder="1" applyAlignment="1">
      <alignment horizontal="center"/>
    </xf>
    <xf numFmtId="170" fontId="21" fillId="24" borderId="101" xfId="223" applyNumberFormat="1" applyFont="1" applyFill="1" applyBorder="1"/>
    <xf numFmtId="0" fontId="10" fillId="24" borderId="0" xfId="222" applyFill="1"/>
    <xf numFmtId="0" fontId="4" fillId="24" borderId="0" xfId="221" applyFill="1"/>
    <xf numFmtId="0" fontId="10" fillId="24" borderId="0" xfId="221" applyFont="1" applyFill="1"/>
    <xf numFmtId="170" fontId="4" fillId="0" borderId="0" xfId="221" applyNumberFormat="1"/>
    <xf numFmtId="0" fontId="10" fillId="0" borderId="0" xfId="222"/>
    <xf numFmtId="0" fontId="10" fillId="0" borderId="0" xfId="221" applyFont="1"/>
    <xf numFmtId="10" fontId="0" fillId="0" borderId="0" xfId="225" applyNumberFormat="1" applyFont="1"/>
    <xf numFmtId="164" fontId="4" fillId="0" borderId="0" xfId="221" applyNumberFormat="1"/>
    <xf numFmtId="10" fontId="0" fillId="0" borderId="0" xfId="223" applyNumberFormat="1" applyFont="1"/>
    <xf numFmtId="10" fontId="4" fillId="0" borderId="0" xfId="221" applyNumberFormat="1"/>
    <xf numFmtId="0" fontId="7" fillId="0" borderId="0" xfId="212" applyAlignment="1">
      <alignment horizontal="right"/>
    </xf>
    <xf numFmtId="0" fontId="107" fillId="0" borderId="0" xfId="212" applyFont="1"/>
    <xf numFmtId="3" fontId="100" fillId="32" borderId="0" xfId="212" applyNumberFormat="1" applyFont="1" applyFill="1"/>
    <xf numFmtId="43" fontId="12" fillId="0" borderId="0" xfId="40" applyFont="1" applyFill="1" applyBorder="1"/>
    <xf numFmtId="43" fontId="57" fillId="28" borderId="97" xfId="40" applyFont="1" applyFill="1" applyBorder="1" applyAlignment="1">
      <alignment vertical="center" wrapText="1"/>
    </xf>
    <xf numFmtId="43" fontId="108" fillId="0" borderId="0" xfId="40" applyFont="1" applyFill="1" applyBorder="1" applyAlignment="1">
      <alignment wrapText="1"/>
    </xf>
    <xf numFmtId="43" fontId="45" fillId="0" borderId="0" xfId="40" applyFont="1"/>
    <xf numFmtId="43" fontId="45" fillId="0" borderId="0" xfId="40" applyFont="1" applyAlignment="1">
      <alignment horizontal="left"/>
    </xf>
    <xf numFmtId="43" fontId="53" fillId="0" borderId="0" xfId="40" applyFont="1" applyFill="1" applyBorder="1"/>
    <xf numFmtId="43" fontId="57" fillId="28" borderId="71" xfId="40" applyFont="1" applyFill="1" applyBorder="1" applyAlignment="1">
      <alignment horizontal="center" vertical="center" wrapText="1"/>
    </xf>
    <xf numFmtId="43" fontId="45" fillId="0" borderId="0" xfId="40" applyFont="1" applyFill="1" applyBorder="1" applyAlignment="1">
      <alignment horizontal="center" vertical="center" wrapText="1"/>
    </xf>
    <xf numFmtId="43" fontId="45" fillId="0" borderId="109" xfId="40" applyFont="1" applyFill="1" applyBorder="1" applyAlignment="1">
      <alignment vertical="center" wrapText="1"/>
    </xf>
    <xf numFmtId="43" fontId="45" fillId="0" borderId="88" xfId="40" applyFont="1" applyFill="1" applyBorder="1" applyAlignment="1">
      <alignment vertical="center" wrapText="1"/>
    </xf>
    <xf numFmtId="43" fontId="45" fillId="0" borderId="93" xfId="40" applyFont="1" applyFill="1" applyBorder="1" applyAlignment="1">
      <alignment vertical="center" wrapText="1"/>
    </xf>
    <xf numFmtId="43" fontId="45" fillId="0" borderId="0" xfId="40" applyFont="1" applyBorder="1"/>
    <xf numFmtId="43" fontId="45" fillId="0" borderId="0" xfId="40" applyFont="1" applyFill="1" applyBorder="1"/>
    <xf numFmtId="43" fontId="12" fillId="0" borderId="0" xfId="40" applyFont="1" applyFill="1" applyBorder="1" applyAlignment="1">
      <alignment horizontal="center" vertical="center" wrapText="1"/>
    </xf>
    <xf numFmtId="43" fontId="12" fillId="0" borderId="0" xfId="40" applyFont="1" applyBorder="1"/>
    <xf numFmtId="43" fontId="15" fillId="0" borderId="105" xfId="40" applyFont="1" applyFill="1" applyBorder="1"/>
    <xf numFmtId="43" fontId="15" fillId="0" borderId="45" xfId="40" applyFont="1" applyFill="1" applyBorder="1"/>
    <xf numFmtId="43" fontId="15" fillId="0" borderId="94" xfId="40" applyFont="1" applyFill="1" applyBorder="1"/>
    <xf numFmtId="43" fontId="15" fillId="0" borderId="49" xfId="40" applyFont="1" applyFill="1" applyBorder="1"/>
    <xf numFmtId="43" fontId="15" fillId="0" borderId="53" xfId="40" applyFont="1" applyFill="1" applyBorder="1"/>
    <xf numFmtId="170" fontId="10" fillId="0" borderId="0" xfId="0" applyNumberFormat="1" applyFont="1" applyAlignment="1">
      <alignment vertical="center" wrapText="1"/>
    </xf>
    <xf numFmtId="43" fontId="62" fillId="0" borderId="0" xfId="40" applyFont="1" applyFill="1"/>
    <xf numFmtId="0" fontId="10" fillId="0" borderId="56" xfId="0" applyFont="1" applyBorder="1"/>
    <xf numFmtId="171" fontId="86" fillId="0" borderId="30" xfId="216" applyNumberFormat="1" applyFont="1" applyFill="1" applyBorder="1"/>
    <xf numFmtId="164" fontId="45" fillId="29" borderId="14" xfId="44" applyFont="1" applyFill="1" applyBorder="1" applyAlignment="1">
      <alignment horizontal="center"/>
    </xf>
    <xf numFmtId="164" fontId="45" fillId="29" borderId="36" xfId="44" applyFont="1" applyFill="1" applyBorder="1" applyAlignment="1">
      <alignment horizontal="center"/>
    </xf>
    <xf numFmtId="0" fontId="45" fillId="0" borderId="0" xfId="0" applyFont="1"/>
    <xf numFmtId="0" fontId="56" fillId="0" borderId="0" xfId="0" applyFont="1"/>
    <xf numFmtId="43" fontId="45" fillId="0" borderId="0" xfId="0" applyNumberFormat="1" applyFont="1"/>
    <xf numFmtId="164" fontId="45" fillId="0" borderId="0" xfId="0" applyNumberFormat="1" applyFont="1"/>
    <xf numFmtId="43" fontId="45" fillId="0" borderId="0" xfId="40" applyFont="1" applyFill="1" applyAlignment="1">
      <alignment vertical="center"/>
    </xf>
    <xf numFmtId="0" fontId="45" fillId="0" borderId="0" xfId="0" applyFont="1" applyAlignment="1">
      <alignment vertical="center" wrapText="1"/>
    </xf>
    <xf numFmtId="0" fontId="12" fillId="0" borderId="0" xfId="0" applyFont="1"/>
    <xf numFmtId="0" fontId="108" fillId="0" borderId="0" xfId="0" applyFont="1"/>
    <xf numFmtId="170" fontId="56" fillId="0" borderId="0" xfId="40" applyNumberFormat="1" applyFont="1" applyFill="1"/>
    <xf numFmtId="170" fontId="108" fillId="0" borderId="0" xfId="40" applyNumberFormat="1" applyFont="1" applyFill="1"/>
    <xf numFmtId="167" fontId="108" fillId="0" borderId="0" xfId="57" applyNumberFormat="1" applyFont="1" applyFill="1"/>
    <xf numFmtId="43" fontId="109" fillId="0" borderId="0" xfId="40" applyFont="1" applyBorder="1"/>
    <xf numFmtId="43" fontId="108" fillId="0" borderId="0" xfId="40" applyFont="1" applyFill="1"/>
    <xf numFmtId="169" fontId="57" fillId="0" borderId="0" xfId="0" applyNumberFormat="1" applyFont="1"/>
    <xf numFmtId="43" fontId="108" fillId="0" borderId="0" xfId="0" applyNumberFormat="1" applyFont="1"/>
    <xf numFmtId="3" fontId="110" fillId="0" borderId="0" xfId="212" applyNumberFormat="1" applyFont="1" applyAlignment="1">
      <alignment horizontal="center"/>
    </xf>
    <xf numFmtId="0" fontId="10" fillId="0" borderId="11" xfId="0" applyFont="1" applyBorder="1" applyAlignment="1">
      <alignment vertical="center" wrapText="1"/>
    </xf>
    <xf numFmtId="170" fontId="94" fillId="0" borderId="0" xfId="221" applyNumberFormat="1" applyFont="1"/>
    <xf numFmtId="43" fontId="10" fillId="0" borderId="0" xfId="40" applyFont="1"/>
    <xf numFmtId="170" fontId="4" fillId="32" borderId="0" xfId="221" applyNumberFormat="1" applyFill="1"/>
    <xf numFmtId="0" fontId="64" fillId="0" borderId="0" xfId="226" applyFont="1"/>
    <xf numFmtId="0" fontId="65" fillId="34" borderId="0" xfId="226" applyFont="1" applyFill="1"/>
    <xf numFmtId="0" fontId="66" fillId="34" borderId="0" xfId="226" applyFont="1" applyFill="1"/>
    <xf numFmtId="0" fontId="3" fillId="0" borderId="0" xfId="226"/>
    <xf numFmtId="0" fontId="67" fillId="0" borderId="0" xfId="226" applyFont="1" applyAlignment="1">
      <alignment horizontal="center"/>
    </xf>
    <xf numFmtId="0" fontId="69" fillId="35" borderId="0" xfId="226" applyFont="1" applyFill="1"/>
    <xf numFmtId="0" fontId="67" fillId="35" borderId="0" xfId="226" applyFont="1" applyFill="1" applyAlignment="1">
      <alignment horizontal="center" vertical="center" wrapText="1"/>
    </xf>
    <xf numFmtId="3" fontId="70" fillId="0" borderId="0" xfId="226" applyNumberFormat="1" applyFont="1"/>
    <xf numFmtId="167" fontId="71" fillId="0" borderId="0" xfId="227" applyNumberFormat="1" applyFont="1" applyBorder="1"/>
    <xf numFmtId="0" fontId="75" fillId="0" borderId="0" xfId="226" applyFont="1"/>
    <xf numFmtId="0" fontId="3" fillId="0" borderId="0" xfId="226" applyAlignment="1">
      <alignment horizontal="center"/>
    </xf>
    <xf numFmtId="2" fontId="3" fillId="0" borderId="0" xfId="226" applyNumberFormat="1" applyAlignment="1">
      <alignment horizontal="center"/>
    </xf>
    <xf numFmtId="171" fontId="0" fillId="0" borderId="0" xfId="228" applyNumberFormat="1" applyFont="1" applyBorder="1"/>
    <xf numFmtId="0" fontId="3" fillId="35" borderId="0" xfId="226" applyFill="1"/>
    <xf numFmtId="3" fontId="3" fillId="0" borderId="0" xfId="226" applyNumberFormat="1"/>
    <xf numFmtId="167" fontId="72" fillId="0" borderId="0" xfId="227" applyNumberFormat="1" applyFont="1" applyFill="1"/>
    <xf numFmtId="4" fontId="3" fillId="0" borderId="0" xfId="226" applyNumberFormat="1" applyAlignment="1">
      <alignment horizontal="center"/>
    </xf>
    <xf numFmtId="0" fontId="10" fillId="0" borderId="0" xfId="226" applyFont="1" applyAlignment="1">
      <alignment horizontal="center"/>
    </xf>
    <xf numFmtId="171" fontId="3" fillId="0" borderId="0" xfId="228" applyNumberFormat="1" applyFont="1" applyBorder="1" applyAlignment="1">
      <alignment horizontal="center"/>
    </xf>
    <xf numFmtId="171" fontId="0" fillId="0" borderId="0" xfId="228" applyNumberFormat="1" applyFont="1" applyBorder="1" applyAlignment="1">
      <alignment horizontal="left"/>
    </xf>
    <xf numFmtId="171" fontId="3" fillId="0" borderId="0" xfId="226" applyNumberFormat="1"/>
    <xf numFmtId="0" fontId="72" fillId="0" borderId="0" xfId="226" applyFont="1"/>
    <xf numFmtId="171" fontId="72" fillId="0" borderId="0" xfId="226" applyNumberFormat="1" applyFont="1"/>
    <xf numFmtId="3" fontId="72" fillId="0" borderId="0" xfId="226" applyNumberFormat="1" applyFont="1"/>
    <xf numFmtId="9" fontId="0" fillId="0" borderId="0" xfId="227" applyFont="1"/>
    <xf numFmtId="0" fontId="11" fillId="0" borderId="118" xfId="226" applyFont="1" applyBorder="1" applyAlignment="1">
      <alignment horizontal="center"/>
    </xf>
    <xf numFmtId="0" fontId="11" fillId="0" borderId="34" xfId="226" applyFont="1" applyBorder="1" applyAlignment="1">
      <alignment horizontal="center"/>
    </xf>
    <xf numFmtId="0" fontId="11" fillId="0" borderId="75" xfId="226" applyFont="1" applyBorder="1" applyAlignment="1">
      <alignment horizontal="center"/>
    </xf>
    <xf numFmtId="0" fontId="11" fillId="0" borderId="27" xfId="226" applyFont="1" applyBorder="1"/>
    <xf numFmtId="171" fontId="0" fillId="0" borderId="16" xfId="228" applyNumberFormat="1" applyFont="1" applyBorder="1"/>
    <xf numFmtId="171" fontId="0" fillId="0" borderId="17" xfId="228" applyNumberFormat="1" applyFont="1" applyBorder="1"/>
    <xf numFmtId="171" fontId="0" fillId="0" borderId="126" xfId="228" applyNumberFormat="1" applyFont="1" applyBorder="1"/>
    <xf numFmtId="0" fontId="11" fillId="0" borderId="28" xfId="226" applyFont="1" applyBorder="1"/>
    <xf numFmtId="171" fontId="0" fillId="0" borderId="14" xfId="228" applyNumberFormat="1" applyFont="1" applyBorder="1"/>
    <xf numFmtId="171" fontId="0" fillId="0" borderId="19" xfId="228" applyNumberFormat="1" applyFont="1" applyBorder="1"/>
    <xf numFmtId="171" fontId="0" fillId="0" borderId="29" xfId="228" applyNumberFormat="1" applyFont="1" applyBorder="1"/>
    <xf numFmtId="0" fontId="11" fillId="0" borderId="127" xfId="226" applyFont="1" applyBorder="1"/>
    <xf numFmtId="171" fontId="10" fillId="0" borderId="128" xfId="228" applyNumberFormat="1" applyFont="1" applyBorder="1" applyAlignment="1">
      <alignment horizontal="right"/>
    </xf>
    <xf numFmtId="171" fontId="0" fillId="0" borderId="44" xfId="228" applyNumberFormat="1" applyFont="1" applyBorder="1"/>
    <xf numFmtId="171" fontId="0" fillId="0" borderId="74" xfId="228" applyNumberFormat="1" applyFont="1" applyBorder="1"/>
    <xf numFmtId="0" fontId="11" fillId="0" borderId="76" xfId="226" applyFont="1" applyBorder="1"/>
    <xf numFmtId="171" fontId="0" fillId="0" borderId="117" xfId="228" applyNumberFormat="1" applyFont="1" applyBorder="1"/>
    <xf numFmtId="171" fontId="0" fillId="0" borderId="97" xfId="228" applyNumberFormat="1" applyFont="1" applyBorder="1"/>
    <xf numFmtId="171" fontId="0" fillId="0" borderId="98" xfId="228" applyNumberFormat="1" applyFont="1" applyBorder="1"/>
    <xf numFmtId="43" fontId="3" fillId="0" borderId="0" xfId="40" applyFont="1"/>
    <xf numFmtId="164" fontId="3" fillId="0" borderId="0" xfId="226" applyNumberFormat="1"/>
    <xf numFmtId="43" fontId="111" fillId="0" borderId="23" xfId="0" applyNumberFormat="1" applyFont="1" applyBorder="1"/>
    <xf numFmtId="43" fontId="15" fillId="0" borderId="23" xfId="0" applyNumberFormat="1" applyFont="1" applyBorder="1"/>
    <xf numFmtId="0" fontId="86" fillId="0" borderId="0" xfId="226" applyFont="1"/>
    <xf numFmtId="0" fontId="65" fillId="0" borderId="0" xfId="226" applyFont="1" applyAlignment="1">
      <alignment horizontal="left" indent="1"/>
    </xf>
    <xf numFmtId="0" fontId="65" fillId="34" borderId="0" xfId="226" applyFont="1" applyFill="1" applyAlignment="1">
      <alignment horizontal="left" indent="1"/>
    </xf>
    <xf numFmtId="167" fontId="90" fillId="0" borderId="0" xfId="227" applyNumberFormat="1" applyFont="1"/>
    <xf numFmtId="41" fontId="64" fillId="41" borderId="0" xfId="226" applyNumberFormat="1" applyFont="1" applyFill="1"/>
    <xf numFmtId="171" fontId="64" fillId="0" borderId="0" xfId="226" applyNumberFormat="1" applyFont="1"/>
    <xf numFmtId="164" fontId="64" fillId="0" borderId="0" xfId="226" applyNumberFormat="1" applyFont="1"/>
    <xf numFmtId="171" fontId="90" fillId="0" borderId="0" xfId="226" applyNumberFormat="1" applyFont="1"/>
    <xf numFmtId="167" fontId="64" fillId="0" borderId="0" xfId="227" applyNumberFormat="1" applyFont="1"/>
    <xf numFmtId="0" fontId="64" fillId="24" borderId="0" xfId="226" applyFont="1" applyFill="1"/>
    <xf numFmtId="171" fontId="91" fillId="0" borderId="0" xfId="226" applyNumberFormat="1" applyFont="1"/>
    <xf numFmtId="9" fontId="64" fillId="0" borderId="0" xfId="227" applyFont="1"/>
    <xf numFmtId="0" fontId="64" fillId="30" borderId="0" xfId="226" applyFont="1" applyFill="1"/>
    <xf numFmtId="167" fontId="87" fillId="0" borderId="0" xfId="227" applyNumberFormat="1" applyFont="1"/>
    <xf numFmtId="167" fontId="86" fillId="0" borderId="0" xfId="227" applyNumberFormat="1" applyFont="1"/>
    <xf numFmtId="0" fontId="97" fillId="30" borderId="0" xfId="226" applyFont="1" applyFill="1" applyAlignment="1">
      <alignment horizontal="left" indent="1"/>
    </xf>
    <xf numFmtId="0" fontId="64" fillId="0" borderId="0" xfId="226" applyFont="1" applyAlignment="1">
      <alignment horizontal="left"/>
    </xf>
    <xf numFmtId="167" fontId="86" fillId="30" borderId="0" xfId="226" applyNumberFormat="1" applyFont="1" applyFill="1" applyAlignment="1">
      <alignment horizontal="center"/>
    </xf>
    <xf numFmtId="0" fontId="86" fillId="30" borderId="0" xfId="226" applyFont="1" applyFill="1" applyAlignment="1">
      <alignment horizontal="left"/>
    </xf>
    <xf numFmtId="0" fontId="74" fillId="30" borderId="0" xfId="226" applyFont="1" applyFill="1" applyAlignment="1">
      <alignment horizontal="left" indent="2"/>
    </xf>
    <xf numFmtId="9" fontId="98" fillId="30" borderId="0" xfId="226" applyNumberFormat="1" applyFont="1" applyFill="1" applyAlignment="1">
      <alignment horizontal="center"/>
    </xf>
    <xf numFmtId="9" fontId="75" fillId="0" borderId="0" xfId="226" applyNumberFormat="1" applyFont="1" applyAlignment="1">
      <alignment horizontal="center"/>
    </xf>
    <xf numFmtId="0" fontId="65" fillId="38" borderId="0" xfId="226" applyFont="1" applyFill="1" applyAlignment="1">
      <alignment horizontal="left" indent="1"/>
    </xf>
    <xf numFmtId="0" fontId="65" fillId="38" borderId="0" xfId="226" applyFont="1" applyFill="1"/>
    <xf numFmtId="0" fontId="64" fillId="0" borderId="0" xfId="226" applyFont="1" applyAlignment="1">
      <alignment horizontal="left" indent="1"/>
    </xf>
    <xf numFmtId="167" fontId="86" fillId="0" borderId="0" xfId="226" applyNumberFormat="1" applyFont="1"/>
    <xf numFmtId="0" fontId="65" fillId="38" borderId="0" xfId="226" applyFont="1" applyFill="1" applyAlignment="1">
      <alignment horizontal="left" indent="2"/>
    </xf>
    <xf numFmtId="0" fontId="75" fillId="0" borderId="0" xfId="226" applyFont="1" applyAlignment="1">
      <alignment horizontal="left" indent="3"/>
    </xf>
    <xf numFmtId="171" fontId="75" fillId="0" borderId="0" xfId="226" applyNumberFormat="1" applyFont="1"/>
    <xf numFmtId="171" fontId="87" fillId="0" borderId="0" xfId="226" applyNumberFormat="1" applyFont="1"/>
    <xf numFmtId="0" fontId="86" fillId="0" borderId="0" xfId="226" applyFont="1" applyAlignment="1">
      <alignment horizontal="left" indent="1"/>
    </xf>
    <xf numFmtId="0" fontId="86" fillId="30" borderId="0" xfId="226" applyFont="1" applyFill="1" applyAlignment="1">
      <alignment horizontal="left" indent="1"/>
    </xf>
    <xf numFmtId="170" fontId="91" fillId="0" borderId="0" xfId="226" applyNumberFormat="1" applyFont="1"/>
    <xf numFmtId="43" fontId="64" fillId="0" borderId="0" xfId="226" applyNumberFormat="1" applyFont="1"/>
    <xf numFmtId="0" fontId="99" fillId="0" borderId="0" xfId="226" applyFont="1"/>
    <xf numFmtId="171" fontId="99" fillId="0" borderId="0" xfId="226" applyNumberFormat="1" applyFont="1"/>
    <xf numFmtId="9" fontId="91" fillId="0" borderId="0" xfId="226" applyNumberFormat="1" applyFont="1"/>
    <xf numFmtId="170" fontId="64" fillId="0" borderId="0" xfId="226" applyNumberFormat="1" applyFont="1"/>
    <xf numFmtId="10" fontId="64" fillId="0" borderId="0" xfId="227" applyNumberFormat="1" applyFont="1"/>
    <xf numFmtId="43" fontId="64" fillId="0" borderId="0" xfId="228" applyFont="1"/>
    <xf numFmtId="167" fontId="64" fillId="0" borderId="0" xfId="226" applyNumberFormat="1" applyFont="1"/>
    <xf numFmtId="0" fontId="64" fillId="30" borderId="0" xfId="226" applyFont="1" applyFill="1" applyAlignment="1">
      <alignment horizontal="center"/>
    </xf>
    <xf numFmtId="0" fontId="65" fillId="34" borderId="0" xfId="226" applyFont="1" applyFill="1" applyAlignment="1">
      <alignment horizontal="right"/>
    </xf>
    <xf numFmtId="0" fontId="64" fillId="0" borderId="0" xfId="226" applyFont="1" applyAlignment="1">
      <alignment horizontal="center"/>
    </xf>
    <xf numFmtId="0" fontId="10" fillId="24" borderId="0" xfId="226" applyFont="1" applyFill="1" applyAlignment="1">
      <alignment horizontal="center"/>
    </xf>
    <xf numFmtId="0" fontId="65" fillId="34" borderId="0" xfId="226" applyFont="1" applyFill="1" applyAlignment="1">
      <alignment horizontal="left" indent="2"/>
    </xf>
    <xf numFmtId="0" fontId="64" fillId="24" borderId="0" xfId="226" applyFont="1" applyFill="1" applyAlignment="1">
      <alignment horizontal="center"/>
    </xf>
    <xf numFmtId="0" fontId="11" fillId="40" borderId="0" xfId="226" applyFont="1" applyFill="1"/>
    <xf numFmtId="171" fontId="99" fillId="40" borderId="0" xfId="226" applyNumberFormat="1" applyFont="1" applyFill="1"/>
    <xf numFmtId="171" fontId="86" fillId="0" borderId="0" xfId="226" applyNumberFormat="1" applyFont="1"/>
    <xf numFmtId="9" fontId="74" fillId="0" borderId="0" xfId="226" applyNumberFormat="1" applyFont="1"/>
    <xf numFmtId="9" fontId="75" fillId="0" borderId="0" xfId="226" applyNumberFormat="1" applyFont="1"/>
    <xf numFmtId="9" fontId="64" fillId="0" borderId="0" xfId="226" applyNumberFormat="1" applyFont="1"/>
    <xf numFmtId="0" fontId="66" fillId="38" borderId="0" xfId="226" applyFont="1" applyFill="1"/>
    <xf numFmtId="0" fontId="64" fillId="38" borderId="0" xfId="226" applyFont="1" applyFill="1"/>
    <xf numFmtId="9" fontId="64" fillId="0" borderId="0" xfId="227" applyFont="1" applyFill="1"/>
    <xf numFmtId="9" fontId="87" fillId="0" borderId="0" xfId="227" applyFont="1" applyFill="1"/>
    <xf numFmtId="0" fontId="87" fillId="38" borderId="0" xfId="226" applyFont="1" applyFill="1"/>
    <xf numFmtId="3" fontId="64" fillId="0" borderId="0" xfId="226" applyNumberFormat="1" applyFont="1"/>
    <xf numFmtId="0" fontId="64" fillId="40" borderId="0" xfId="226" applyFont="1" applyFill="1"/>
    <xf numFmtId="9" fontId="64" fillId="40" borderId="0" xfId="227" applyFont="1" applyFill="1"/>
    <xf numFmtId="170" fontId="64" fillId="40" borderId="0" xfId="226" applyNumberFormat="1" applyFont="1" applyFill="1"/>
    <xf numFmtId="10" fontId="87" fillId="0" borderId="0" xfId="226" applyNumberFormat="1" applyFont="1"/>
    <xf numFmtId="10" fontId="64" fillId="0" borderId="0" xfId="226" applyNumberFormat="1" applyFont="1"/>
    <xf numFmtId="0" fontId="99" fillId="36" borderId="0" xfId="226" applyFont="1" applyFill="1"/>
    <xf numFmtId="171" fontId="99" fillId="36" borderId="0" xfId="226" applyNumberFormat="1" applyFont="1" applyFill="1"/>
    <xf numFmtId="0" fontId="99" fillId="33" borderId="0" xfId="226" applyFont="1" applyFill="1"/>
    <xf numFmtId="171" fontId="99" fillId="33" borderId="0" xfId="226" applyNumberFormat="1" applyFont="1" applyFill="1"/>
    <xf numFmtId="0" fontId="83" fillId="0" borderId="0" xfId="226" applyFont="1"/>
    <xf numFmtId="0" fontId="65" fillId="35" borderId="0" xfId="226" applyFont="1" applyFill="1"/>
    <xf numFmtId="189" fontId="90" fillId="0" borderId="0" xfId="226" applyNumberFormat="1" applyFont="1" applyAlignment="1">
      <alignment horizontal="center"/>
    </xf>
    <xf numFmtId="43" fontId="3" fillId="0" borderId="0" xfId="226" applyNumberFormat="1"/>
    <xf numFmtId="0" fontId="88" fillId="0" borderId="0" xfId="226" applyFont="1" applyAlignment="1">
      <alignment horizontal="center"/>
    </xf>
    <xf numFmtId="167" fontId="87" fillId="0" borderId="0" xfId="227" applyNumberFormat="1" applyFont="1" applyFill="1" applyBorder="1" applyAlignment="1">
      <alignment horizontal="center"/>
    </xf>
    <xf numFmtId="10" fontId="64" fillId="0" borderId="0" xfId="227" applyNumberFormat="1" applyFont="1" applyFill="1" applyBorder="1"/>
    <xf numFmtId="10" fontId="64" fillId="30" borderId="0" xfId="227" applyNumberFormat="1" applyFont="1" applyFill="1" applyBorder="1"/>
    <xf numFmtId="0" fontId="15" fillId="0" borderId="119" xfId="0" applyFont="1" applyBorder="1" applyAlignment="1">
      <alignment horizontal="center"/>
    </xf>
    <xf numFmtId="0" fontId="15" fillId="0" borderId="14" xfId="0" applyFont="1" applyBorder="1"/>
    <xf numFmtId="43" fontId="10" fillId="0" borderId="19" xfId="0" applyNumberFormat="1" applyFont="1" applyBorder="1"/>
    <xf numFmtId="43" fontId="10" fillId="0" borderId="29" xfId="0" applyNumberFormat="1" applyFont="1" applyBorder="1"/>
    <xf numFmtId="0" fontId="11" fillId="0" borderId="14" xfId="0" applyFont="1" applyBorder="1"/>
    <xf numFmtId="0" fontId="15" fillId="0" borderId="19" xfId="0" applyFont="1" applyBorder="1" applyAlignment="1">
      <alignment horizontal="center"/>
    </xf>
    <xf numFmtId="43" fontId="15" fillId="0" borderId="29" xfId="0" applyNumberFormat="1" applyFont="1" applyBorder="1"/>
    <xf numFmtId="0" fontId="71" fillId="30" borderId="19" xfId="210" applyFont="1" applyFill="1" applyBorder="1" applyAlignment="1">
      <alignment horizontal="center"/>
    </xf>
    <xf numFmtId="0" fontId="15" fillId="0" borderId="36" xfId="0" applyFont="1" applyBorder="1"/>
    <xf numFmtId="43" fontId="10" fillId="0" borderId="22" xfId="0" applyNumberFormat="1" applyFont="1" applyBorder="1"/>
    <xf numFmtId="43" fontId="10" fillId="0" borderId="131" xfId="0" applyNumberFormat="1" applyFont="1" applyBorder="1"/>
    <xf numFmtId="10" fontId="86" fillId="0" borderId="30" xfId="218" applyNumberFormat="1" applyFont="1" applyFill="1" applyBorder="1" applyAlignment="1">
      <alignment horizontal="center"/>
    </xf>
    <xf numFmtId="0" fontId="87" fillId="0" borderId="0" xfId="210" applyFont="1" applyAlignment="1">
      <alignment horizontal="center"/>
    </xf>
    <xf numFmtId="164" fontId="86" fillId="0" borderId="0" xfId="210" applyNumberFormat="1" applyFont="1" applyAlignment="1">
      <alignment horizontal="center"/>
    </xf>
    <xf numFmtId="164" fontId="86" fillId="0" borderId="0" xfId="210" applyNumberFormat="1" applyFont="1"/>
    <xf numFmtId="164" fontId="88" fillId="0" borderId="0" xfId="210" applyNumberFormat="1" applyFont="1"/>
    <xf numFmtId="0" fontId="99" fillId="30" borderId="0" xfId="226" applyFont="1" applyFill="1" applyAlignment="1">
      <alignment wrapText="1"/>
    </xf>
    <xf numFmtId="43" fontId="88" fillId="0" borderId="0" xfId="228" applyFont="1"/>
    <xf numFmtId="164" fontId="86" fillId="30" borderId="0" xfId="210" applyNumberFormat="1" applyFont="1" applyFill="1"/>
    <xf numFmtId="43" fontId="86" fillId="0" borderId="0" xfId="210" applyNumberFormat="1" applyFont="1"/>
    <xf numFmtId="0" fontId="91" fillId="30" borderId="0" xfId="210" applyFont="1" applyFill="1"/>
    <xf numFmtId="3" fontId="70" fillId="32" borderId="0" xfId="212" applyNumberFormat="1" applyFont="1" applyFill="1"/>
    <xf numFmtId="0" fontId="10" fillId="0" borderId="0" xfId="173"/>
    <xf numFmtId="0" fontId="23" fillId="0" borderId="0" xfId="173" applyFont="1" applyAlignment="1">
      <alignment horizontal="center"/>
    </xf>
    <xf numFmtId="0" fontId="46" fillId="26" borderId="76" xfId="173" applyFont="1" applyFill="1" applyBorder="1" applyAlignment="1">
      <alignment horizontal="center"/>
    </xf>
    <xf numFmtId="0" fontId="11" fillId="0" borderId="0" xfId="173" applyFont="1" applyAlignment="1">
      <alignment horizontal="center"/>
    </xf>
    <xf numFmtId="164" fontId="11" fillId="0" borderId="0" xfId="44" applyFont="1" applyFill="1" applyBorder="1" applyAlignment="1">
      <alignment horizontal="center" vertical="center" wrapText="1"/>
    </xf>
    <xf numFmtId="0" fontId="46" fillId="26" borderId="19" xfId="173" applyFont="1" applyFill="1" applyBorder="1" applyAlignment="1">
      <alignment horizontal="center"/>
    </xf>
    <xf numFmtId="164" fontId="11" fillId="0" borderId="40" xfId="44" applyFont="1" applyFill="1" applyBorder="1" applyAlignment="1">
      <alignment horizontal="left"/>
    </xf>
    <xf numFmtId="164" fontId="11" fillId="0" borderId="40" xfId="44" applyFont="1" applyFill="1" applyBorder="1" applyAlignment="1">
      <alignment horizontal="center"/>
    </xf>
    <xf numFmtId="0" fontId="10" fillId="0" borderId="40" xfId="173" applyBorder="1"/>
    <xf numFmtId="164" fontId="11" fillId="0" borderId="38" xfId="44" applyFont="1" applyFill="1" applyBorder="1" applyAlignment="1">
      <alignment horizontal="left"/>
    </xf>
    <xf numFmtId="0" fontId="10" fillId="0" borderId="38" xfId="173" applyBorder="1"/>
    <xf numFmtId="164" fontId="10" fillId="0" borderId="38" xfId="44" applyFont="1" applyFill="1" applyBorder="1" applyAlignment="1">
      <alignment horizontal="left"/>
    </xf>
    <xf numFmtId="170" fontId="10" fillId="0" borderId="38" xfId="40" applyNumberFormat="1" applyFont="1" applyFill="1" applyBorder="1"/>
    <xf numFmtId="0" fontId="10" fillId="0" borderId="84" xfId="173" applyBorder="1"/>
    <xf numFmtId="43" fontId="10" fillId="0" borderId="0" xfId="173" applyNumberFormat="1"/>
    <xf numFmtId="0" fontId="63" fillId="0" borderId="0" xfId="173" applyFont="1"/>
    <xf numFmtId="164" fontId="10" fillId="0" borderId="30" xfId="44" applyFont="1" applyFill="1" applyBorder="1"/>
    <xf numFmtId="170" fontId="10" fillId="0" borderId="30" xfId="40" applyNumberFormat="1" applyFont="1" applyFill="1" applyBorder="1"/>
    <xf numFmtId="164" fontId="10" fillId="0" borderId="35" xfId="44" applyFont="1" applyFill="1" applyBorder="1" applyAlignment="1">
      <alignment horizontal="left"/>
    </xf>
    <xf numFmtId="170" fontId="10" fillId="0" borderId="35" xfId="40" applyNumberFormat="1" applyFont="1" applyFill="1" applyBorder="1"/>
    <xf numFmtId="164" fontId="46" fillId="26" borderId="78" xfId="44" applyFont="1" applyFill="1" applyBorder="1" applyAlignment="1">
      <alignment horizontal="left"/>
    </xf>
    <xf numFmtId="164" fontId="49" fillId="26" borderId="97" xfId="44" applyFont="1" applyFill="1" applyBorder="1"/>
    <xf numFmtId="170" fontId="46" fillId="26" borderId="97" xfId="40" applyNumberFormat="1" applyFont="1" applyFill="1" applyBorder="1"/>
    <xf numFmtId="164" fontId="46" fillId="26" borderId="97" xfId="40" applyNumberFormat="1" applyFont="1" applyFill="1" applyBorder="1"/>
    <xf numFmtId="170" fontId="46" fillId="26" borderId="98" xfId="40" applyNumberFormat="1" applyFont="1" applyFill="1" applyBorder="1"/>
    <xf numFmtId="164" fontId="46" fillId="0" borderId="0" xfId="44" applyFont="1" applyFill="1" applyBorder="1" applyAlignment="1">
      <alignment horizontal="left"/>
    </xf>
    <xf numFmtId="164" fontId="49" fillId="0" borderId="0" xfId="44" applyFont="1" applyFill="1" applyBorder="1"/>
    <xf numFmtId="170" fontId="11" fillId="0" borderId="0" xfId="40" applyNumberFormat="1" applyFont="1" applyFill="1" applyBorder="1"/>
    <xf numFmtId="170" fontId="46" fillId="0" borderId="0" xfId="40" applyNumberFormat="1" applyFont="1" applyFill="1" applyBorder="1"/>
    <xf numFmtId="0" fontId="10" fillId="0" borderId="45" xfId="173" applyBorder="1"/>
    <xf numFmtId="0" fontId="10" fillId="0" borderId="60" xfId="173" applyBorder="1"/>
    <xf numFmtId="170" fontId="58" fillId="0" borderId="99" xfId="40" applyNumberFormat="1" applyFont="1" applyFill="1" applyBorder="1"/>
    <xf numFmtId="170" fontId="58" fillId="0" borderId="46" xfId="40" applyNumberFormat="1" applyFont="1" applyFill="1" applyBorder="1"/>
    <xf numFmtId="0" fontId="10" fillId="0" borderId="94" xfId="173" applyBorder="1"/>
    <xf numFmtId="0" fontId="10" fillId="0" borderId="63" xfId="173" applyBorder="1"/>
    <xf numFmtId="170" fontId="10" fillId="0" borderId="68" xfId="40" applyNumberFormat="1" applyFont="1" applyFill="1" applyBorder="1"/>
    <xf numFmtId="175" fontId="10" fillId="0" borderId="68" xfId="40" applyNumberFormat="1" applyFont="1" applyFill="1" applyBorder="1"/>
    <xf numFmtId="0" fontId="10" fillId="0" borderId="49" xfId="173" applyBorder="1"/>
    <xf numFmtId="0" fontId="10" fillId="0" borderId="62" xfId="173" applyBorder="1"/>
    <xf numFmtId="170" fontId="46" fillId="26" borderId="19" xfId="40" applyNumberFormat="1" applyFont="1" applyFill="1" applyBorder="1"/>
    <xf numFmtId="170" fontId="46" fillId="26" borderId="29" xfId="40" applyNumberFormat="1" applyFont="1" applyFill="1" applyBorder="1"/>
    <xf numFmtId="164" fontId="10" fillId="0" borderId="49" xfId="44" applyFont="1" applyFill="1" applyBorder="1" applyAlignment="1">
      <alignment horizontal="left"/>
    </xf>
    <xf numFmtId="164" fontId="10" fillId="0" borderId="62" xfId="44" applyFont="1" applyFill="1" applyBorder="1"/>
    <xf numFmtId="170" fontId="10" fillId="0" borderId="50" xfId="40" applyNumberFormat="1" applyFont="1" applyFill="1" applyBorder="1"/>
    <xf numFmtId="0" fontId="11" fillId="0" borderId="49" xfId="173" applyFont="1" applyBorder="1"/>
    <xf numFmtId="0" fontId="11" fillId="0" borderId="62" xfId="173" applyFont="1" applyBorder="1"/>
    <xf numFmtId="170" fontId="11" fillId="0" borderId="38" xfId="40" applyNumberFormat="1" applyFont="1" applyFill="1" applyBorder="1"/>
    <xf numFmtId="170" fontId="11" fillId="0" borderId="50" xfId="40" applyNumberFormat="1" applyFont="1" applyFill="1" applyBorder="1"/>
    <xf numFmtId="9" fontId="11" fillId="0" borderId="38" xfId="57" applyFont="1" applyFill="1" applyBorder="1"/>
    <xf numFmtId="43" fontId="11" fillId="0" borderId="38" xfId="40" applyFont="1" applyFill="1" applyBorder="1"/>
    <xf numFmtId="43" fontId="11" fillId="0" borderId="50" xfId="40" applyFont="1" applyFill="1" applyBorder="1"/>
    <xf numFmtId="43" fontId="10" fillId="0" borderId="53" xfId="40" applyFont="1" applyFill="1" applyBorder="1" applyAlignment="1"/>
    <xf numFmtId="43" fontId="10" fillId="0" borderId="61" xfId="40" applyFont="1" applyFill="1" applyBorder="1" applyAlignment="1"/>
    <xf numFmtId="191" fontId="10" fillId="0" borderId="100" xfId="40" applyNumberFormat="1" applyFont="1" applyFill="1" applyBorder="1"/>
    <xf numFmtId="191" fontId="10" fillId="0" borderId="101" xfId="40" applyNumberFormat="1" applyFont="1" applyFill="1" applyBorder="1"/>
    <xf numFmtId="0" fontId="10" fillId="0" borderId="0" xfId="173" applyAlignment="1">
      <alignment horizontal="left"/>
    </xf>
    <xf numFmtId="179" fontId="10" fillId="0" borderId="0" xfId="173" applyNumberFormat="1"/>
    <xf numFmtId="0" fontId="11" fillId="0" borderId="0" xfId="173" applyFont="1"/>
    <xf numFmtId="43" fontId="45" fillId="0" borderId="0" xfId="40" applyFont="1" applyFill="1" applyBorder="1" applyAlignment="1">
      <alignment horizontal="center"/>
    </xf>
    <xf numFmtId="171" fontId="88" fillId="30" borderId="0" xfId="210" applyNumberFormat="1" applyFont="1" applyFill="1"/>
    <xf numFmtId="171" fontId="10" fillId="0" borderId="0" xfId="40" applyNumberFormat="1" applyFont="1" applyFill="1" applyBorder="1"/>
    <xf numFmtId="164" fontId="10" fillId="0" borderId="0" xfId="173" applyNumberFormat="1"/>
    <xf numFmtId="169" fontId="47" fillId="0" borderId="0" xfId="40" applyNumberFormat="1" applyFont="1" applyFill="1" applyBorder="1"/>
    <xf numFmtId="170" fontId="47" fillId="0" borderId="0" xfId="40" applyNumberFormat="1" applyFont="1" applyFill="1" applyBorder="1"/>
    <xf numFmtId="0" fontId="10" fillId="33" borderId="0" xfId="173" applyFill="1"/>
    <xf numFmtId="164" fontId="10" fillId="33" borderId="0" xfId="173" applyNumberFormat="1" applyFill="1"/>
    <xf numFmtId="0" fontId="50" fillId="26" borderId="97" xfId="173" applyFont="1" applyFill="1" applyBorder="1" applyAlignment="1">
      <alignment horizontal="center" vertical="center" wrapText="1"/>
    </xf>
    <xf numFmtId="0" fontId="10" fillId="0" borderId="95" xfId="173" applyBorder="1"/>
    <xf numFmtId="170" fontId="10" fillId="0" borderId="44" xfId="173" applyNumberFormat="1" applyBorder="1"/>
    <xf numFmtId="0" fontId="10" fillId="0" borderId="69" xfId="173" applyBorder="1"/>
    <xf numFmtId="170" fontId="62" fillId="0" borderId="30" xfId="173" applyNumberFormat="1" applyFont="1" applyBorder="1"/>
    <xf numFmtId="0" fontId="10" fillId="0" borderId="96" xfId="173" applyBorder="1"/>
    <xf numFmtId="170" fontId="10" fillId="0" borderId="41" xfId="173" applyNumberFormat="1" applyBorder="1"/>
    <xf numFmtId="9" fontId="47" fillId="26" borderId="19" xfId="57" applyFont="1" applyFill="1" applyBorder="1"/>
    <xf numFmtId="0" fontId="114" fillId="0" borderId="0" xfId="229" applyFont="1"/>
    <xf numFmtId="0" fontId="3" fillId="0" borderId="0" xfId="229"/>
    <xf numFmtId="17" fontId="83" fillId="0" borderId="0" xfId="229" applyNumberFormat="1" applyFont="1" applyAlignment="1">
      <alignment horizontal="right"/>
    </xf>
    <xf numFmtId="4" fontId="115" fillId="0" borderId="0" xfId="229" applyNumberFormat="1" applyFont="1" applyAlignment="1">
      <alignment horizontal="center"/>
    </xf>
    <xf numFmtId="192" fontId="115" fillId="0" borderId="0" xfId="229" applyNumberFormat="1" applyFont="1" applyAlignment="1">
      <alignment horizontal="center"/>
    </xf>
    <xf numFmtId="40" fontId="83" fillId="0" borderId="0" xfId="229" applyNumberFormat="1" applyFont="1"/>
    <xf numFmtId="191" fontId="83" fillId="0" borderId="138" xfId="229" applyNumberFormat="1" applyFont="1" applyBorder="1"/>
    <xf numFmtId="191" fontId="83" fillId="0" borderId="0" xfId="229" applyNumberFormat="1" applyFont="1"/>
    <xf numFmtId="193" fontId="83" fillId="0" borderId="141" xfId="229" applyNumberFormat="1" applyFont="1" applyBorder="1"/>
    <xf numFmtId="194" fontId="83" fillId="0" borderId="141" xfId="229" applyNumberFormat="1" applyFont="1" applyBorder="1"/>
    <xf numFmtId="193" fontId="83" fillId="0" borderId="142" xfId="229" applyNumberFormat="1" applyFont="1" applyBorder="1"/>
    <xf numFmtId="173" fontId="3" fillId="0" borderId="0" xfId="229" applyNumberFormat="1"/>
    <xf numFmtId="191" fontId="84" fillId="32" borderId="0" xfId="229" applyNumberFormat="1" applyFont="1" applyFill="1"/>
    <xf numFmtId="0" fontId="15" fillId="0" borderId="47" xfId="0" applyFont="1" applyBorder="1" applyAlignment="1">
      <alignment horizontal="center"/>
    </xf>
    <xf numFmtId="43" fontId="15" fillId="0" borderId="48" xfId="0" applyNumberFormat="1" applyFont="1" applyBorder="1"/>
    <xf numFmtId="0" fontId="10" fillId="0" borderId="51" xfId="0" applyFont="1" applyBorder="1" applyAlignment="1">
      <alignment horizontal="center"/>
    </xf>
    <xf numFmtId="167" fontId="47" fillId="26" borderId="19" xfId="57" applyNumberFormat="1" applyFont="1" applyFill="1" applyBorder="1" applyAlignment="1">
      <alignment horizontal="center"/>
    </xf>
    <xf numFmtId="195" fontId="11" fillId="0" borderId="76" xfId="173" applyNumberFormat="1" applyFont="1" applyBorder="1" applyAlignment="1">
      <alignment horizontal="center"/>
    </xf>
    <xf numFmtId="0" fontId="11" fillId="0" borderId="0" xfId="226" applyFont="1" applyAlignment="1">
      <alignment horizontal="center"/>
    </xf>
    <xf numFmtId="167" fontId="76" fillId="33" borderId="107" xfId="57" applyNumberFormat="1" applyFont="1" applyFill="1" applyBorder="1" applyAlignment="1">
      <alignment horizontal="right"/>
    </xf>
    <xf numFmtId="0" fontId="67" fillId="35" borderId="39" xfId="226" applyFont="1" applyFill="1" applyBorder="1" applyAlignment="1">
      <alignment horizontal="center" vertical="center" wrapText="1"/>
    </xf>
    <xf numFmtId="167" fontId="3" fillId="0" borderId="26" xfId="226" applyNumberFormat="1" applyBorder="1"/>
    <xf numFmtId="167" fontId="3" fillId="0" borderId="23" xfId="226" applyNumberFormat="1" applyBorder="1"/>
    <xf numFmtId="0" fontId="72" fillId="31" borderId="76" xfId="226" applyFont="1" applyFill="1" applyBorder="1" applyAlignment="1">
      <alignment horizontal="left" indent="1"/>
    </xf>
    <xf numFmtId="3" fontId="76" fillId="31" borderId="76" xfId="226" applyNumberFormat="1" applyFont="1" applyFill="1" applyBorder="1" applyAlignment="1">
      <alignment horizontal="center"/>
    </xf>
    <xf numFmtId="167" fontId="76" fillId="31" borderId="76" xfId="227" applyNumberFormat="1" applyFont="1" applyFill="1" applyBorder="1" applyAlignment="1">
      <alignment horizontal="center"/>
    </xf>
    <xf numFmtId="0" fontId="72" fillId="30" borderId="0" xfId="226" applyFont="1" applyFill="1" applyAlignment="1">
      <alignment horizontal="left" indent="1"/>
    </xf>
    <xf numFmtId="3" fontId="76" fillId="30" borderId="0" xfId="226" applyNumberFormat="1" applyFont="1" applyFill="1" applyAlignment="1">
      <alignment horizontal="center"/>
    </xf>
    <xf numFmtId="167" fontId="76" fillId="30" borderId="0" xfId="227" applyNumberFormat="1" applyFont="1" applyFill="1" applyAlignment="1">
      <alignment horizontal="center"/>
    </xf>
    <xf numFmtId="167" fontId="76" fillId="30" borderId="0" xfId="57" applyNumberFormat="1" applyFont="1" applyFill="1" applyBorder="1" applyAlignment="1">
      <alignment horizontal="right"/>
    </xf>
    <xf numFmtId="0" fontId="3" fillId="30" borderId="0" xfId="226" applyFill="1"/>
    <xf numFmtId="0" fontId="69" fillId="30" borderId="0" xfId="210" applyFont="1" applyFill="1"/>
    <xf numFmtId="3" fontId="70" fillId="30" borderId="0" xfId="226" applyNumberFormat="1" applyFont="1" applyFill="1" applyAlignment="1">
      <alignment horizontal="right" vertical="center"/>
    </xf>
    <xf numFmtId="167" fontId="71" fillId="30" borderId="0" xfId="227" applyNumberFormat="1" applyFont="1" applyFill="1" applyBorder="1" applyAlignment="1">
      <alignment horizontal="right" vertical="center"/>
    </xf>
    <xf numFmtId="167" fontId="76" fillId="30" borderId="83" xfId="57" applyNumberFormat="1" applyFont="1" applyFill="1" applyBorder="1" applyAlignment="1">
      <alignment horizontal="right"/>
    </xf>
    <xf numFmtId="3" fontId="76" fillId="30" borderId="76" xfId="226" applyNumberFormat="1" applyFont="1" applyFill="1" applyBorder="1" applyAlignment="1">
      <alignment horizontal="center"/>
    </xf>
    <xf numFmtId="3" fontId="76" fillId="30" borderId="107" xfId="226" applyNumberFormat="1" applyFont="1" applyFill="1" applyBorder="1" applyAlignment="1">
      <alignment horizontal="center"/>
    </xf>
    <xf numFmtId="3" fontId="76" fillId="30" borderId="81" xfId="226" applyNumberFormat="1" applyFont="1" applyFill="1" applyBorder="1" applyAlignment="1">
      <alignment horizontal="center"/>
    </xf>
    <xf numFmtId="3" fontId="76" fillId="30" borderId="13" xfId="226" applyNumberFormat="1" applyFont="1" applyFill="1" applyBorder="1" applyAlignment="1">
      <alignment horizontal="center"/>
    </xf>
    <xf numFmtId="3" fontId="76" fillId="30" borderId="80" xfId="226" applyNumberFormat="1" applyFont="1" applyFill="1" applyBorder="1" applyAlignment="1">
      <alignment horizontal="center"/>
    </xf>
    <xf numFmtId="167" fontId="76" fillId="30" borderId="76" xfId="227" applyNumberFormat="1" applyFont="1" applyFill="1" applyBorder="1" applyAlignment="1">
      <alignment horizontal="center"/>
    </xf>
    <xf numFmtId="0" fontId="76" fillId="46" borderId="76" xfId="0" applyFont="1" applyFill="1" applyBorder="1" applyAlignment="1">
      <alignment horizontal="center" vertical="center" wrapText="1"/>
    </xf>
    <xf numFmtId="3" fontId="70" fillId="0" borderId="30" xfId="226" applyNumberFormat="1" applyFont="1" applyBorder="1" applyAlignment="1">
      <alignment horizontal="center"/>
    </xf>
    <xf numFmtId="0" fontId="67" fillId="35" borderId="34" xfId="226" applyFont="1" applyFill="1" applyBorder="1" applyAlignment="1">
      <alignment horizontal="center" vertical="center" wrapText="1"/>
    </xf>
    <xf numFmtId="167" fontId="71" fillId="0" borderId="30" xfId="227" applyNumberFormat="1" applyFont="1" applyBorder="1" applyAlignment="1">
      <alignment horizontal="center"/>
    </xf>
    <xf numFmtId="0" fontId="67" fillId="35" borderId="118" xfId="226" applyFont="1" applyFill="1" applyBorder="1" applyAlignment="1">
      <alignment horizontal="center" vertical="center" wrapText="1"/>
    </xf>
    <xf numFmtId="0" fontId="67" fillId="35" borderId="34" xfId="226" applyFont="1" applyFill="1" applyBorder="1" applyAlignment="1">
      <alignment horizontal="center" vertical="center"/>
    </xf>
    <xf numFmtId="0" fontId="3" fillId="0" borderId="130" xfId="226" applyBorder="1" applyAlignment="1">
      <alignment horizontal="left" indent="1"/>
    </xf>
    <xf numFmtId="3" fontId="70" fillId="30" borderId="30" xfId="226" applyNumberFormat="1" applyFont="1" applyFill="1" applyBorder="1" applyAlignment="1">
      <alignment horizontal="center"/>
    </xf>
    <xf numFmtId="167" fontId="3" fillId="0" borderId="37" xfId="226" applyNumberFormat="1" applyBorder="1"/>
    <xf numFmtId="167" fontId="76" fillId="31" borderId="76" xfId="227" applyNumberFormat="1" applyFont="1" applyFill="1" applyBorder="1" applyAlignment="1">
      <alignment horizontal="right"/>
    </xf>
    <xf numFmtId="3" fontId="73" fillId="30" borderId="30" xfId="226" applyNumberFormat="1" applyFont="1" applyFill="1" applyBorder="1" applyAlignment="1">
      <alignment horizontal="center"/>
    </xf>
    <xf numFmtId="0" fontId="11" fillId="30" borderId="0" xfId="226" applyFont="1" applyFill="1" applyAlignment="1">
      <alignment horizontal="center"/>
    </xf>
    <xf numFmtId="167" fontId="0" fillId="0" borderId="0" xfId="228" applyNumberFormat="1" applyFont="1" applyBorder="1"/>
    <xf numFmtId="171" fontId="0" fillId="0" borderId="30" xfId="228" applyNumberFormat="1" applyFont="1" applyBorder="1"/>
    <xf numFmtId="171" fontId="10" fillId="0" borderId="30" xfId="228" applyNumberFormat="1" applyFont="1" applyBorder="1" applyAlignment="1">
      <alignment horizontal="right"/>
    </xf>
    <xf numFmtId="0" fontId="69" fillId="35" borderId="118" xfId="226" applyFont="1" applyFill="1" applyBorder="1"/>
    <xf numFmtId="0" fontId="58" fillId="35" borderId="34" xfId="226" applyFont="1" applyFill="1" applyBorder="1" applyAlignment="1">
      <alignment horizontal="center" vertical="center"/>
    </xf>
    <xf numFmtId="0" fontId="58" fillId="35" borderId="75" xfId="226" applyFont="1" applyFill="1" applyBorder="1" applyAlignment="1">
      <alignment horizontal="center" vertical="center"/>
    </xf>
    <xf numFmtId="0" fontId="11" fillId="0" borderId="130" xfId="226" applyFont="1" applyBorder="1"/>
    <xf numFmtId="171" fontId="0" fillId="0" borderId="37" xfId="228" applyNumberFormat="1" applyFont="1" applyBorder="1"/>
    <xf numFmtId="0" fontId="11" fillId="31" borderId="76" xfId="226" applyFont="1" applyFill="1" applyBorder="1"/>
    <xf numFmtId="0" fontId="3" fillId="31" borderId="76" xfId="226" applyFill="1" applyBorder="1"/>
    <xf numFmtId="171" fontId="72" fillId="31" borderId="76" xfId="228" applyNumberFormat="1" applyFont="1" applyFill="1" applyBorder="1"/>
    <xf numFmtId="167" fontId="72" fillId="31" borderId="76" xfId="227" applyNumberFormat="1" applyFont="1" applyFill="1" applyBorder="1"/>
    <xf numFmtId="3" fontId="71" fillId="36" borderId="0" xfId="210" applyNumberFormat="1" applyFont="1" applyFill="1" applyAlignment="1">
      <alignment horizontal="center"/>
    </xf>
    <xf numFmtId="3" fontId="71" fillId="30" borderId="0" xfId="21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9" fillId="35" borderId="80" xfId="226" applyFont="1" applyFill="1" applyBorder="1"/>
    <xf numFmtId="0" fontId="67" fillId="35" borderId="123" xfId="210" applyFont="1" applyFill="1" applyBorder="1" applyAlignment="1">
      <alignment horizontal="left"/>
    </xf>
    <xf numFmtId="0" fontId="67" fillId="35" borderId="123" xfId="210" applyFont="1" applyFill="1" applyBorder="1"/>
    <xf numFmtId="0" fontId="67" fillId="35" borderId="123" xfId="210" applyFont="1" applyFill="1" applyBorder="1" applyAlignment="1">
      <alignment horizontal="center"/>
    </xf>
    <xf numFmtId="0" fontId="69" fillId="35" borderId="123" xfId="210" applyFont="1" applyFill="1" applyBorder="1"/>
    <xf numFmtId="0" fontId="69" fillId="35" borderId="107" xfId="210" applyFont="1" applyFill="1" applyBorder="1"/>
    <xf numFmtId="0" fontId="67" fillId="35" borderId="76" xfId="226" applyFont="1" applyFill="1" applyBorder="1" applyAlignment="1">
      <alignment horizontal="center" vertical="center" wrapText="1"/>
    </xf>
    <xf numFmtId="0" fontId="71" fillId="36" borderId="31" xfId="210" applyFont="1" applyFill="1" applyBorder="1" applyAlignment="1">
      <alignment horizontal="center"/>
    </xf>
    <xf numFmtId="0" fontId="71" fillId="36" borderId="32" xfId="210" applyFont="1" applyFill="1" applyBorder="1"/>
    <xf numFmtId="0" fontId="71" fillId="36" borderId="32" xfId="210" applyFont="1" applyFill="1" applyBorder="1" applyAlignment="1">
      <alignment horizontal="center"/>
    </xf>
    <xf numFmtId="4" fontId="71" fillId="36" borderId="32" xfId="210" applyNumberFormat="1" applyFont="1" applyFill="1" applyBorder="1" applyAlignment="1">
      <alignment horizontal="center"/>
    </xf>
    <xf numFmtId="0" fontId="71" fillId="36" borderId="11" xfId="210" applyFont="1" applyFill="1" applyBorder="1" applyAlignment="1">
      <alignment horizontal="center"/>
    </xf>
    <xf numFmtId="167" fontId="71" fillId="36" borderId="26" xfId="227" applyNumberFormat="1" applyFont="1" applyFill="1" applyBorder="1" applyAlignment="1">
      <alignment horizontal="right" vertical="center"/>
    </xf>
    <xf numFmtId="0" fontId="71" fillId="30" borderId="11" xfId="210" applyFont="1" applyFill="1" applyBorder="1" applyAlignment="1">
      <alignment horizontal="center"/>
    </xf>
    <xf numFmtId="167" fontId="71" fillId="0" borderId="26" xfId="227" applyNumberFormat="1" applyFont="1" applyBorder="1"/>
    <xf numFmtId="167" fontId="71" fillId="30" borderId="26" xfId="227" applyNumberFormat="1" applyFont="1" applyFill="1" applyBorder="1"/>
    <xf numFmtId="167" fontId="71" fillId="30" borderId="26" xfId="227" applyNumberFormat="1" applyFont="1" applyFill="1" applyBorder="1" applyAlignment="1">
      <alignment horizontal="right" vertical="center"/>
    </xf>
    <xf numFmtId="0" fontId="71" fillId="30" borderId="13" xfId="210" applyFont="1" applyFill="1" applyBorder="1" applyAlignment="1">
      <alignment horizontal="center"/>
    </xf>
    <xf numFmtId="0" fontId="71" fillId="30" borderId="12" xfId="210" applyFont="1" applyFill="1" applyBorder="1"/>
    <xf numFmtId="0" fontId="71" fillId="30" borderId="12" xfId="210" applyFont="1" applyFill="1" applyBorder="1" applyAlignment="1">
      <alignment horizontal="center"/>
    </xf>
    <xf numFmtId="2" fontId="71" fillId="30" borderId="12" xfId="210" applyNumberFormat="1" applyFont="1" applyFill="1" applyBorder="1" applyAlignment="1">
      <alignment horizontal="center"/>
    </xf>
    <xf numFmtId="3" fontId="71" fillId="36" borderId="12" xfId="210" applyNumberFormat="1" applyFont="1" applyFill="1" applyBorder="1" applyAlignment="1">
      <alignment horizontal="center"/>
    </xf>
    <xf numFmtId="167" fontId="71" fillId="30" borderId="23" xfId="227" applyNumberFormat="1" applyFont="1" applyFill="1" applyBorder="1" applyAlignment="1">
      <alignment horizontal="right" vertical="center"/>
    </xf>
    <xf numFmtId="3" fontId="71" fillId="33" borderId="76" xfId="210" applyNumberFormat="1" applyFont="1" applyFill="1" applyBorder="1" applyAlignment="1">
      <alignment horizontal="center"/>
    </xf>
    <xf numFmtId="167" fontId="71" fillId="33" borderId="76" xfId="227" applyNumberFormat="1" applyFont="1" applyFill="1" applyBorder="1" applyAlignment="1">
      <alignment horizontal="right"/>
    </xf>
    <xf numFmtId="4" fontId="71" fillId="33" borderId="76" xfId="210" applyNumberFormat="1" applyFont="1" applyFill="1" applyBorder="1" applyAlignment="1">
      <alignment horizontal="center"/>
    </xf>
    <xf numFmtId="0" fontId="67" fillId="0" borderId="0" xfId="226" applyFont="1"/>
    <xf numFmtId="0" fontId="67" fillId="0" borderId="0" xfId="210" applyFont="1" applyAlignment="1">
      <alignment horizontal="center"/>
    </xf>
    <xf numFmtId="4" fontId="67" fillId="0" borderId="0" xfId="210" applyNumberFormat="1" applyFont="1" applyAlignment="1">
      <alignment horizontal="center"/>
    </xf>
    <xf numFmtId="3" fontId="67" fillId="0" borderId="0" xfId="226" applyNumberFormat="1" applyFont="1"/>
    <xf numFmtId="167" fontId="67" fillId="0" borderId="0" xfId="227" applyNumberFormat="1" applyFont="1" applyFill="1" applyBorder="1"/>
    <xf numFmtId="3" fontId="76" fillId="33" borderId="0" xfId="226" applyNumberFormat="1" applyFont="1" applyFill="1"/>
    <xf numFmtId="167" fontId="76" fillId="33" borderId="0" xfId="227" applyNumberFormat="1" applyFont="1" applyFill="1" applyBorder="1"/>
    <xf numFmtId="3" fontId="71" fillId="0" borderId="0" xfId="226" applyNumberFormat="1" applyFont="1"/>
    <xf numFmtId="4" fontId="76" fillId="33" borderId="76" xfId="210" applyNumberFormat="1" applyFont="1" applyFill="1" applyBorder="1" applyAlignment="1">
      <alignment horizontal="center"/>
    </xf>
    <xf numFmtId="3" fontId="76" fillId="33" borderId="76" xfId="226" applyNumberFormat="1" applyFont="1" applyFill="1" applyBorder="1"/>
    <xf numFmtId="3" fontId="76" fillId="33" borderId="81" xfId="226" applyNumberFormat="1" applyFont="1" applyFill="1" applyBorder="1"/>
    <xf numFmtId="167" fontId="72" fillId="33" borderId="76" xfId="226" applyNumberFormat="1" applyFont="1" applyFill="1" applyBorder="1"/>
    <xf numFmtId="0" fontId="67" fillId="35" borderId="123" xfId="210" applyFont="1" applyFill="1" applyBorder="1" applyAlignment="1">
      <alignment horizontal="right"/>
    </xf>
    <xf numFmtId="0" fontId="76" fillId="35" borderId="107" xfId="210" applyFont="1" applyFill="1" applyBorder="1"/>
    <xf numFmtId="3" fontId="3" fillId="0" borderId="0" xfId="226" applyNumberFormat="1" applyAlignment="1">
      <alignment horizontal="center"/>
    </xf>
    <xf numFmtId="3" fontId="71" fillId="30" borderId="0" xfId="226" applyNumberFormat="1" applyFont="1" applyFill="1"/>
    <xf numFmtId="167" fontId="76" fillId="0" borderId="0" xfId="227" applyNumberFormat="1" applyFont="1" applyBorder="1"/>
    <xf numFmtId="2" fontId="3" fillId="47" borderId="76" xfId="226" applyNumberFormat="1" applyFill="1" applyBorder="1" applyAlignment="1">
      <alignment horizontal="center"/>
    </xf>
    <xf numFmtId="3" fontId="76" fillId="33" borderId="76" xfId="226" applyNumberFormat="1" applyFont="1" applyFill="1" applyBorder="1" applyAlignment="1">
      <alignment horizontal="center"/>
    </xf>
    <xf numFmtId="0" fontId="76" fillId="30" borderId="0" xfId="210" applyFont="1" applyFill="1" applyAlignment="1">
      <alignment horizontal="left"/>
    </xf>
    <xf numFmtId="2" fontId="3" fillId="30" borderId="0" xfId="226" applyNumberFormat="1" applyFill="1" applyAlignment="1">
      <alignment horizontal="center"/>
    </xf>
    <xf numFmtId="0" fontId="67" fillId="35" borderId="123" xfId="226" applyFont="1" applyFill="1" applyBorder="1"/>
    <xf numFmtId="0" fontId="67" fillId="35" borderId="107" xfId="226" applyFont="1" applyFill="1" applyBorder="1"/>
    <xf numFmtId="0" fontId="71" fillId="30" borderId="31" xfId="210" applyFont="1" applyFill="1" applyBorder="1" applyAlignment="1">
      <alignment horizontal="center"/>
    </xf>
    <xf numFmtId="0" fontId="3" fillId="30" borderId="32" xfId="226" applyFill="1" applyBorder="1"/>
    <xf numFmtId="0" fontId="3" fillId="0" borderId="32" xfId="226" applyBorder="1" applyAlignment="1">
      <alignment horizontal="center"/>
    </xf>
    <xf numFmtId="3" fontId="3" fillId="0" borderId="32" xfId="226" applyNumberFormat="1" applyBorder="1" applyAlignment="1">
      <alignment horizontal="center"/>
    </xf>
    <xf numFmtId="3" fontId="71" fillId="30" borderId="32" xfId="226" applyNumberFormat="1" applyFont="1" applyFill="1" applyBorder="1"/>
    <xf numFmtId="167" fontId="71" fillId="0" borderId="39" xfId="227" applyNumberFormat="1" applyFont="1" applyBorder="1"/>
    <xf numFmtId="167" fontId="71" fillId="0" borderId="26" xfId="227" applyNumberFormat="1" applyFont="1" applyBorder="1" applyAlignment="1">
      <alignment vertical="center"/>
    </xf>
    <xf numFmtId="167" fontId="76" fillId="33" borderId="76" xfId="227" applyNumberFormat="1" applyFont="1" applyFill="1" applyBorder="1"/>
    <xf numFmtId="3" fontId="76" fillId="33" borderId="76" xfId="210" applyNumberFormat="1" applyFont="1" applyFill="1" applyBorder="1" applyAlignment="1">
      <alignment horizontal="center"/>
    </xf>
    <xf numFmtId="167" fontId="71" fillId="33" borderId="76" xfId="227" applyNumberFormat="1" applyFont="1" applyFill="1" applyBorder="1"/>
    <xf numFmtId="0" fontId="3" fillId="0" borderId="32" xfId="226" applyBorder="1"/>
    <xf numFmtId="3" fontId="70" fillId="0" borderId="32" xfId="226" applyNumberFormat="1" applyFont="1" applyBorder="1"/>
    <xf numFmtId="0" fontId="71" fillId="30" borderId="32" xfId="210" applyFont="1" applyFill="1" applyBorder="1" applyAlignment="1">
      <alignment horizontal="center"/>
    </xf>
    <xf numFmtId="0" fontId="76" fillId="33" borderId="0" xfId="226" applyFont="1" applyFill="1" applyAlignment="1">
      <alignment horizontal="center"/>
    </xf>
    <xf numFmtId="0" fontId="71" fillId="33" borderId="0" xfId="226" applyFont="1" applyFill="1"/>
    <xf numFmtId="0" fontId="76" fillId="33" borderId="0" xfId="210" applyFont="1" applyFill="1" applyAlignment="1">
      <alignment horizontal="center"/>
    </xf>
    <xf numFmtId="0" fontId="76" fillId="45" borderId="0" xfId="226" applyFont="1" applyFill="1" applyAlignment="1">
      <alignment horizontal="center"/>
    </xf>
    <xf numFmtId="0" fontId="71" fillId="45" borderId="0" xfId="226" applyFont="1" applyFill="1"/>
    <xf numFmtId="0" fontId="76" fillId="45" borderId="0" xfId="210" applyFont="1" applyFill="1" applyAlignment="1">
      <alignment horizontal="center"/>
    </xf>
    <xf numFmtId="3" fontId="76" fillId="45" borderId="0" xfId="210" applyNumberFormat="1" applyFont="1" applyFill="1" applyAlignment="1">
      <alignment horizontal="center"/>
    </xf>
    <xf numFmtId="3" fontId="76" fillId="45" borderId="0" xfId="226" applyNumberFormat="1" applyFont="1" applyFill="1"/>
    <xf numFmtId="4" fontId="76" fillId="47" borderId="0" xfId="210" applyNumberFormat="1" applyFont="1" applyFill="1" applyAlignment="1">
      <alignment horizontal="center"/>
    </xf>
    <xf numFmtId="167" fontId="76" fillId="45" borderId="0" xfId="227" applyNumberFormat="1" applyFont="1" applyFill="1" applyBorder="1"/>
    <xf numFmtId="0" fontId="3" fillId="0" borderId="0" xfId="226" applyAlignment="1">
      <alignment horizontal="left"/>
    </xf>
    <xf numFmtId="0" fontId="76" fillId="46" borderId="81" xfId="0" applyFont="1" applyFill="1" applyBorder="1" applyAlignment="1">
      <alignment horizontal="center" vertical="center" wrapText="1"/>
    </xf>
    <xf numFmtId="3" fontId="3" fillId="0" borderId="126" xfId="226" applyNumberFormat="1" applyBorder="1"/>
    <xf numFmtId="3" fontId="3" fillId="0" borderId="131" xfId="226" applyNumberFormat="1" applyBorder="1"/>
    <xf numFmtId="41" fontId="91" fillId="0" borderId="0" xfId="210" applyNumberFormat="1" applyFont="1"/>
    <xf numFmtId="167" fontId="10" fillId="0" borderId="136" xfId="57" applyNumberFormat="1" applyFont="1" applyBorder="1"/>
    <xf numFmtId="0" fontId="65" fillId="35" borderId="120" xfId="173" applyFont="1" applyFill="1" applyBorder="1" applyAlignment="1">
      <alignment horizontal="center"/>
    </xf>
    <xf numFmtId="0" fontId="65" fillId="35" borderId="121" xfId="173" applyFont="1" applyFill="1" applyBorder="1" applyAlignment="1">
      <alignment horizontal="center"/>
    </xf>
    <xf numFmtId="0" fontId="65" fillId="35" borderId="143" xfId="173" applyFont="1" applyFill="1" applyBorder="1" applyAlignment="1">
      <alignment horizontal="center"/>
    </xf>
    <xf numFmtId="0" fontId="65" fillId="35" borderId="33" xfId="210" applyFont="1" applyFill="1" applyBorder="1" applyAlignment="1">
      <alignment horizontal="center"/>
    </xf>
    <xf numFmtId="43" fontId="86" fillId="0" borderId="32" xfId="173" applyNumberFormat="1" applyFont="1" applyBorder="1"/>
    <xf numFmtId="43" fontId="86" fillId="0" borderId="12" xfId="173" applyNumberFormat="1" applyFont="1" applyBorder="1"/>
    <xf numFmtId="3" fontId="77" fillId="32" borderId="23" xfId="173" applyNumberFormat="1" applyFont="1" applyFill="1" applyBorder="1"/>
    <xf numFmtId="0" fontId="65" fillId="35" borderId="80" xfId="210" applyFont="1" applyFill="1" applyBorder="1" applyAlignment="1">
      <alignment horizontal="center"/>
    </xf>
    <xf numFmtId="0" fontId="86" fillId="24" borderId="80" xfId="210" applyFont="1" applyFill="1" applyBorder="1" applyAlignment="1">
      <alignment horizontal="center"/>
    </xf>
    <xf numFmtId="0" fontId="86" fillId="24" borderId="107" xfId="210" applyFont="1" applyFill="1" applyBorder="1" applyAlignment="1">
      <alignment horizontal="center"/>
    </xf>
    <xf numFmtId="0" fontId="86" fillId="24" borderId="19" xfId="210" applyFont="1" applyFill="1" applyBorder="1"/>
    <xf numFmtId="0" fontId="86" fillId="24" borderId="19" xfId="210" applyFont="1" applyFill="1" applyBorder="1" applyAlignment="1">
      <alignment horizontal="center"/>
    </xf>
    <xf numFmtId="164" fontId="86" fillId="24" borderId="19" xfId="216" applyNumberFormat="1" applyFont="1" applyFill="1" applyBorder="1"/>
    <xf numFmtId="43" fontId="15" fillId="0" borderId="107" xfId="40" applyFont="1" applyFill="1" applyBorder="1"/>
    <xf numFmtId="0" fontId="11" fillId="0" borderId="4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3" fontId="11" fillId="0" borderId="135" xfId="0" applyNumberFormat="1" applyFont="1" applyBorder="1"/>
    <xf numFmtId="3" fontId="45" fillId="0" borderId="0" xfId="0" applyNumberFormat="1" applyFont="1"/>
    <xf numFmtId="43" fontId="45" fillId="0" borderId="0" xfId="40" applyFont="1" applyFill="1"/>
    <xf numFmtId="43" fontId="10" fillId="0" borderId="0" xfId="0" applyNumberFormat="1" applyFont="1" applyAlignment="1">
      <alignment vertical="center" wrapText="1"/>
    </xf>
    <xf numFmtId="181" fontId="45" fillId="0" borderId="0" xfId="0" applyNumberFormat="1" applyFont="1"/>
    <xf numFmtId="197" fontId="45" fillId="0" borderId="0" xfId="0" applyNumberFormat="1" applyFont="1"/>
    <xf numFmtId="43" fontId="15" fillId="0" borderId="0" xfId="40" applyFont="1" applyFill="1" applyAlignment="1">
      <alignment horizontal="left"/>
    </xf>
    <xf numFmtId="43" fontId="11" fillId="0" borderId="0" xfId="40" applyFont="1" applyFill="1" applyBorder="1" applyAlignment="1">
      <alignment horizontal="left" vertical="center" wrapText="1"/>
    </xf>
    <xf numFmtId="0" fontId="124" fillId="28" borderId="55" xfId="0" applyFont="1" applyFill="1" applyBorder="1"/>
    <xf numFmtId="3" fontId="119" fillId="0" borderId="0" xfId="0" applyNumberFormat="1" applyFont="1"/>
    <xf numFmtId="0" fontId="22" fillId="30" borderId="0" xfId="0" applyFont="1" applyFill="1"/>
    <xf numFmtId="3" fontId="120" fillId="30" borderId="0" xfId="0" applyNumberFormat="1" applyFont="1" applyFill="1"/>
    <xf numFmtId="3" fontId="119" fillId="30" borderId="0" xfId="0" applyNumberFormat="1" applyFont="1" applyFill="1"/>
    <xf numFmtId="43" fontId="58" fillId="28" borderId="107" xfId="40" applyFont="1" applyFill="1" applyBorder="1"/>
    <xf numFmtId="0" fontId="15" fillId="0" borderId="45" xfId="0" applyFont="1" applyBorder="1" applyAlignment="1">
      <alignment horizontal="center"/>
    </xf>
    <xf numFmtId="0" fontId="124" fillId="28" borderId="54" xfId="0" applyFont="1" applyFill="1" applyBorder="1"/>
    <xf numFmtId="0" fontId="23" fillId="0" borderId="0" xfId="233" applyFont="1" applyAlignment="1">
      <alignment horizontal="center"/>
    </xf>
    <xf numFmtId="0" fontId="22" fillId="30" borderId="0" xfId="233" applyFont="1" applyFill="1"/>
    <xf numFmtId="0" fontId="22" fillId="0" borderId="0" xfId="233" applyFont="1"/>
    <xf numFmtId="0" fontId="116" fillId="0" borderId="0" xfId="233" applyFont="1" applyAlignment="1">
      <alignment horizontal="center"/>
    </xf>
    <xf numFmtId="0" fontId="116" fillId="24" borderId="0" xfId="233" applyFont="1" applyFill="1"/>
    <xf numFmtId="0" fontId="116" fillId="0" borderId="0" xfId="233" applyFont="1"/>
    <xf numFmtId="0" fontId="57" fillId="42" borderId="0" xfId="233" applyFont="1" applyFill="1" applyAlignment="1">
      <alignment horizontal="centerContinuous"/>
    </xf>
    <xf numFmtId="0" fontId="57" fillId="43" borderId="0" xfId="233" applyFont="1" applyFill="1" applyAlignment="1">
      <alignment horizontal="centerContinuous"/>
    </xf>
    <xf numFmtId="0" fontId="21" fillId="46" borderId="0" xfId="233" applyFont="1" applyFill="1" applyAlignment="1">
      <alignment horizontal="center"/>
    </xf>
    <xf numFmtId="0" fontId="21" fillId="46" borderId="0" xfId="233" applyFont="1" applyFill="1" applyAlignment="1">
      <alignment horizontal="center" vertical="center"/>
    </xf>
    <xf numFmtId="0" fontId="21" fillId="46" borderId="0" xfId="233" applyFont="1" applyFill="1" applyAlignment="1">
      <alignment horizontal="right"/>
    </xf>
    <xf numFmtId="0" fontId="22" fillId="46" borderId="0" xfId="233" applyFont="1" applyFill="1"/>
    <xf numFmtId="0" fontId="21" fillId="0" borderId="0" xfId="233" applyFont="1" applyAlignment="1">
      <alignment horizontal="center"/>
    </xf>
    <xf numFmtId="0" fontId="21" fillId="24" borderId="0" xfId="233" applyFont="1" applyFill="1" applyAlignment="1">
      <alignment vertical="center"/>
    </xf>
    <xf numFmtId="0" fontId="21" fillId="24" borderId="0" xfId="233" applyFont="1" applyFill="1" applyAlignment="1">
      <alignment horizontal="right"/>
    </xf>
    <xf numFmtId="0" fontId="21" fillId="0" borderId="0" xfId="233" applyFont="1" applyAlignment="1">
      <alignment horizontal="right"/>
    </xf>
    <xf numFmtId="0" fontId="22" fillId="46" borderId="0" xfId="233" applyFont="1" applyFill="1" applyAlignment="1">
      <alignment horizontal="center"/>
    </xf>
    <xf numFmtId="0" fontId="21" fillId="46" borderId="0" xfId="233" applyFont="1" applyFill="1" applyAlignment="1">
      <alignment horizontal="centerContinuous"/>
    </xf>
    <xf numFmtId="3" fontId="21" fillId="46" borderId="0" xfId="233" applyNumberFormat="1" applyFont="1" applyFill="1" applyAlignment="1">
      <alignment horizontal="right"/>
    </xf>
    <xf numFmtId="3" fontId="21" fillId="46" borderId="0" xfId="233" applyNumberFormat="1" applyFont="1" applyFill="1"/>
    <xf numFmtId="3" fontId="22" fillId="46" borderId="0" xfId="233" applyNumberFormat="1" applyFont="1" applyFill="1"/>
    <xf numFmtId="0" fontId="22" fillId="0" borderId="0" xfId="233" applyFont="1" applyAlignment="1">
      <alignment horizontal="center"/>
    </xf>
    <xf numFmtId="0" fontId="21" fillId="24" borderId="0" xfId="233" applyFont="1" applyFill="1" applyAlignment="1">
      <alignment horizontal="centerContinuous"/>
    </xf>
    <xf numFmtId="3" fontId="21" fillId="24" borderId="0" xfId="233" applyNumberFormat="1" applyFont="1" applyFill="1" applyAlignment="1">
      <alignment horizontal="right"/>
    </xf>
    <xf numFmtId="3" fontId="21" fillId="24" borderId="0" xfId="233" applyNumberFormat="1" applyFont="1" applyFill="1" applyAlignment="1">
      <alignment horizontal="center"/>
    </xf>
    <xf numFmtId="3" fontId="21" fillId="0" borderId="0" xfId="233" applyNumberFormat="1" applyFont="1" applyAlignment="1">
      <alignment horizontal="center"/>
    </xf>
    <xf numFmtId="3" fontId="22" fillId="0" borderId="0" xfId="233" applyNumberFormat="1" applyFont="1"/>
    <xf numFmtId="0" fontId="71" fillId="49" borderId="0" xfId="233" applyFont="1" applyFill="1"/>
    <xf numFmtId="0" fontId="125" fillId="0" borderId="0" xfId="233" applyFont="1"/>
    <xf numFmtId="0" fontId="1" fillId="0" borderId="0" xfId="233"/>
    <xf numFmtId="3" fontId="119" fillId="0" borderId="0" xfId="233" applyNumberFormat="1" applyFont="1"/>
    <xf numFmtId="3" fontId="21" fillId="0" borderId="0" xfId="233" applyNumberFormat="1" applyFont="1"/>
    <xf numFmtId="14" fontId="22" fillId="0" borderId="0" xfId="233" applyNumberFormat="1" applyFont="1" applyAlignment="1">
      <alignment horizontal="center"/>
    </xf>
    <xf numFmtId="196" fontId="117" fillId="0" borderId="0" xfId="233" applyNumberFormat="1" applyFont="1" applyAlignment="1">
      <alignment horizontal="center"/>
    </xf>
    <xf numFmtId="0" fontId="118" fillId="0" borderId="0" xfId="233" applyFont="1"/>
    <xf numFmtId="43" fontId="22" fillId="0" borderId="0" xfId="234" applyFont="1" applyFill="1" applyBorder="1" applyAlignment="1">
      <alignment horizontal="center"/>
    </xf>
    <xf numFmtId="196" fontId="22" fillId="0" borderId="0" xfId="233" applyNumberFormat="1" applyFont="1" applyAlignment="1">
      <alignment horizontal="center"/>
    </xf>
    <xf numFmtId="0" fontId="117" fillId="0" borderId="0" xfId="233" applyFont="1"/>
    <xf numFmtId="0" fontId="1" fillId="49" borderId="0" xfId="233" applyFill="1"/>
    <xf numFmtId="196" fontId="118" fillId="0" borderId="0" xfId="233" applyNumberFormat="1" applyFont="1" applyAlignment="1">
      <alignment horizontal="center"/>
    </xf>
    <xf numFmtId="3" fontId="120" fillId="0" borderId="0" xfId="233" applyNumberFormat="1" applyFont="1"/>
    <xf numFmtId="3" fontId="119" fillId="30" borderId="0" xfId="233" applyNumberFormat="1" applyFont="1" applyFill="1"/>
    <xf numFmtId="3" fontId="120" fillId="30" borderId="0" xfId="233" applyNumberFormat="1" applyFont="1" applyFill="1"/>
    <xf numFmtId="0" fontId="21" fillId="0" borderId="0" xfId="233" applyFont="1"/>
    <xf numFmtId="0" fontId="121" fillId="0" borderId="0" xfId="233" applyFont="1"/>
    <xf numFmtId="0" fontId="76" fillId="46" borderId="0" xfId="233" applyFont="1" applyFill="1"/>
    <xf numFmtId="196" fontId="21" fillId="46" borderId="0" xfId="233" applyNumberFormat="1" applyFont="1" applyFill="1" applyAlignment="1">
      <alignment horizontal="center"/>
    </xf>
    <xf numFmtId="0" fontId="21" fillId="46" borderId="0" xfId="233" applyFont="1" applyFill="1"/>
    <xf numFmtId="43" fontId="21" fillId="46" borderId="0" xfId="234" applyFont="1" applyFill="1" applyBorder="1" applyAlignment="1">
      <alignment horizontal="center"/>
    </xf>
    <xf numFmtId="0" fontId="1" fillId="30" borderId="0" xfId="233" applyFill="1"/>
    <xf numFmtId="0" fontId="22" fillId="0" borderId="0" xfId="233" applyFont="1" applyAlignment="1">
      <alignment horizontal="left"/>
    </xf>
    <xf numFmtId="196" fontId="22" fillId="46" borderId="0" xfId="233" applyNumberFormat="1" applyFont="1" applyFill="1" applyAlignment="1">
      <alignment horizontal="center"/>
    </xf>
    <xf numFmtId="43" fontId="22" fillId="46" borderId="0" xfId="234" applyFont="1" applyFill="1" applyBorder="1" applyAlignment="1">
      <alignment horizontal="center"/>
    </xf>
    <xf numFmtId="3" fontId="117" fillId="0" borderId="0" xfId="233" applyNumberFormat="1" applyFont="1"/>
    <xf numFmtId="0" fontId="119" fillId="30" borderId="0" xfId="233" applyFont="1" applyFill="1"/>
    <xf numFmtId="3" fontId="22" fillId="30" borderId="0" xfId="233" applyNumberFormat="1" applyFont="1" applyFill="1"/>
    <xf numFmtId="0" fontId="22" fillId="50" borderId="0" xfId="233" applyFont="1" applyFill="1" applyAlignment="1">
      <alignment horizontal="left"/>
    </xf>
    <xf numFmtId="0" fontId="119" fillId="30" borderId="0" xfId="233" applyFont="1" applyFill="1" applyAlignment="1">
      <alignment horizontal="left"/>
    </xf>
    <xf numFmtId="3" fontId="119" fillId="30" borderId="0" xfId="233" applyNumberFormat="1" applyFont="1" applyFill="1" applyAlignment="1">
      <alignment horizontal="right"/>
    </xf>
    <xf numFmtId="3" fontId="119" fillId="49" borderId="0" xfId="233" applyNumberFormat="1" applyFont="1" applyFill="1" applyAlignment="1">
      <alignment horizontal="right"/>
    </xf>
    <xf numFmtId="3" fontId="119" fillId="0" borderId="0" xfId="233" applyNumberFormat="1" applyFont="1" applyAlignment="1">
      <alignment horizontal="right"/>
    </xf>
    <xf numFmtId="0" fontId="119" fillId="0" borderId="0" xfId="233" applyFont="1" applyAlignment="1">
      <alignment horizontal="left"/>
    </xf>
    <xf numFmtId="196" fontId="19" fillId="0" borderId="0" xfId="233" applyNumberFormat="1" applyFont="1" applyAlignment="1">
      <alignment horizontal="center"/>
    </xf>
    <xf numFmtId="0" fontId="21" fillId="0" borderId="0" xfId="233" applyFont="1" applyAlignment="1">
      <alignment horizontal="left"/>
    </xf>
    <xf numFmtId="3" fontId="22" fillId="24" borderId="0" xfId="233" applyNumberFormat="1" applyFont="1" applyFill="1"/>
    <xf numFmtId="0" fontId="22" fillId="33" borderId="0" xfId="233" applyFont="1" applyFill="1" applyAlignment="1">
      <alignment horizontal="center"/>
    </xf>
    <xf numFmtId="0" fontId="21" fillId="33" borderId="0" xfId="233" applyFont="1" applyFill="1" applyAlignment="1">
      <alignment horizontal="left"/>
    </xf>
    <xf numFmtId="3" fontId="21" fillId="33" borderId="0" xfId="233" applyNumberFormat="1" applyFont="1" applyFill="1"/>
    <xf numFmtId="3" fontId="22" fillId="33" borderId="0" xfId="233" applyNumberFormat="1" applyFont="1" applyFill="1"/>
    <xf numFmtId="196" fontId="22" fillId="33" borderId="0" xfId="233" applyNumberFormat="1" applyFont="1" applyFill="1" applyAlignment="1">
      <alignment horizontal="center"/>
    </xf>
    <xf numFmtId="0" fontId="22" fillId="33" borderId="0" xfId="233" applyFont="1" applyFill="1"/>
    <xf numFmtId="0" fontId="117" fillId="33" borderId="0" xfId="233" applyFont="1" applyFill="1"/>
    <xf numFmtId="43" fontId="22" fillId="33" borderId="0" xfId="234" applyFont="1" applyFill="1" applyBorder="1" applyAlignment="1">
      <alignment horizontal="center"/>
    </xf>
    <xf numFmtId="3" fontId="119" fillId="49" borderId="0" xfId="233" applyNumberFormat="1" applyFont="1" applyFill="1"/>
    <xf numFmtId="0" fontId="119" fillId="0" borderId="0" xfId="233" applyFont="1"/>
    <xf numFmtId="0" fontId="21" fillId="33" borderId="0" xfId="233" applyFont="1" applyFill="1" applyAlignment="1">
      <alignment horizontal="center"/>
    </xf>
    <xf numFmtId="196" fontId="21" fillId="33" borderId="0" xfId="233" applyNumberFormat="1" applyFont="1" applyFill="1" applyAlignment="1">
      <alignment horizontal="center"/>
    </xf>
    <xf numFmtId="0" fontId="121" fillId="33" borderId="0" xfId="233" applyFont="1" applyFill="1"/>
    <xf numFmtId="43" fontId="21" fillId="33" borderId="0" xfId="234" applyFont="1" applyFill="1" applyBorder="1" applyAlignment="1">
      <alignment horizontal="center"/>
    </xf>
    <xf numFmtId="0" fontId="21" fillId="33" borderId="0" xfId="233" applyFont="1" applyFill="1"/>
    <xf numFmtId="0" fontId="22" fillId="49" borderId="0" xfId="233" applyFont="1" applyFill="1" applyAlignment="1">
      <alignment horizontal="left"/>
    </xf>
    <xf numFmtId="0" fontId="22" fillId="44" borderId="0" xfId="233" applyFont="1" applyFill="1" applyAlignment="1">
      <alignment horizontal="left"/>
    </xf>
    <xf numFmtId="14" fontId="117" fillId="0" borderId="0" xfId="233" applyNumberFormat="1" applyFont="1"/>
    <xf numFmtId="3" fontId="119" fillId="50" borderId="0" xfId="233" applyNumberFormat="1" applyFont="1" applyFill="1"/>
    <xf numFmtId="0" fontId="22" fillId="50" borderId="0" xfId="233" applyFont="1" applyFill="1"/>
    <xf numFmtId="0" fontId="21" fillId="46" borderId="81" xfId="233" applyFont="1" applyFill="1" applyBorder="1"/>
    <xf numFmtId="0" fontId="21" fillId="46" borderId="82" xfId="233" applyFont="1" applyFill="1" applyBorder="1"/>
    <xf numFmtId="3" fontId="21" fillId="46" borderId="82" xfId="233" applyNumberFormat="1" applyFont="1" applyFill="1" applyBorder="1"/>
    <xf numFmtId="0" fontId="22" fillId="0" borderId="69" xfId="233" applyFont="1" applyBorder="1"/>
    <xf numFmtId="0" fontId="22" fillId="0" borderId="96" xfId="233" applyFont="1" applyBorder="1"/>
    <xf numFmtId="0" fontId="22" fillId="0" borderId="111" xfId="233" applyFont="1" applyBorder="1"/>
    <xf numFmtId="3" fontId="22" fillId="0" borderId="111" xfId="233" applyNumberFormat="1" applyFont="1" applyBorder="1"/>
    <xf numFmtId="0" fontId="21" fillId="33" borderId="70" xfId="233" applyFont="1" applyFill="1" applyBorder="1"/>
    <xf numFmtId="0" fontId="21" fillId="33" borderId="72" xfId="233" applyFont="1" applyFill="1" applyBorder="1"/>
    <xf numFmtId="43" fontId="21" fillId="33" borderId="72" xfId="234" applyFont="1" applyFill="1" applyBorder="1"/>
    <xf numFmtId="43" fontId="21" fillId="33" borderId="24" xfId="234" applyFont="1" applyFill="1" applyBorder="1"/>
    <xf numFmtId="0" fontId="0" fillId="0" borderId="32" xfId="0" applyBorder="1"/>
    <xf numFmtId="43" fontId="45" fillId="0" borderId="32" xfId="40" applyFont="1" applyBorder="1"/>
    <xf numFmtId="39" fontId="0" fillId="0" borderId="11" xfId="0" applyNumberFormat="1" applyBorder="1"/>
    <xf numFmtId="44" fontId="45" fillId="0" borderId="144" xfId="232" applyFont="1" applyFill="1" applyBorder="1"/>
    <xf numFmtId="44" fontId="53" fillId="0" borderId="145" xfId="232" applyFont="1" applyFill="1" applyBorder="1"/>
    <xf numFmtId="44" fontId="45" fillId="0" borderId="146" xfId="232" applyFont="1" applyFill="1" applyBorder="1"/>
    <xf numFmtId="44" fontId="45" fillId="0" borderId="147" xfId="232" applyFont="1" applyFill="1" applyBorder="1"/>
    <xf numFmtId="44" fontId="53" fillId="0" borderId="148" xfId="232" applyFont="1" applyFill="1" applyBorder="1"/>
    <xf numFmtId="44" fontId="45" fillId="0" borderId="149" xfId="232" applyFont="1" applyFill="1" applyBorder="1"/>
    <xf numFmtId="44" fontId="45" fillId="0" borderId="148" xfId="232" applyFont="1" applyFill="1" applyBorder="1"/>
    <xf numFmtId="44" fontId="53" fillId="0" borderId="148" xfId="232" applyFont="1" applyFill="1" applyBorder="1" applyAlignment="1"/>
    <xf numFmtId="44" fontId="45" fillId="0" borderId="148" xfId="232" applyFont="1" applyFill="1" applyBorder="1" applyAlignment="1"/>
    <xf numFmtId="44" fontId="60" fillId="28" borderId="150" xfId="232" applyFont="1" applyFill="1" applyBorder="1"/>
    <xf numFmtId="44" fontId="0" fillId="0" borderId="151" xfId="232" applyFont="1" applyBorder="1"/>
    <xf numFmtId="44" fontId="0" fillId="0" borderId="152" xfId="232" applyFont="1" applyBorder="1"/>
    <xf numFmtId="44" fontId="12" fillId="0" borderId="147" xfId="232" applyFont="1" applyFill="1" applyBorder="1"/>
    <xf numFmtId="177" fontId="12" fillId="51" borderId="81" xfId="0" applyNumberFormat="1" applyFont="1" applyFill="1" applyBorder="1"/>
    <xf numFmtId="177" fontId="12" fillId="51" borderId="82" xfId="0" applyNumberFormat="1" applyFont="1" applyFill="1" applyBorder="1"/>
    <xf numFmtId="177" fontId="12" fillId="51" borderId="83" xfId="0" applyNumberFormat="1" applyFont="1" applyFill="1" applyBorder="1"/>
    <xf numFmtId="43" fontId="12" fillId="51" borderId="81" xfId="40" applyFont="1" applyFill="1" applyBorder="1" applyAlignment="1"/>
    <xf numFmtId="177" fontId="12" fillId="48" borderId="81" xfId="0" applyNumberFormat="1" applyFont="1" applyFill="1" applyBorder="1"/>
    <xf numFmtId="177" fontId="12" fillId="48" borderId="82" xfId="0" applyNumberFormat="1" applyFont="1" applyFill="1" applyBorder="1"/>
    <xf numFmtId="177" fontId="12" fillId="48" borderId="83" xfId="0" applyNumberFormat="1" applyFont="1" applyFill="1" applyBorder="1"/>
    <xf numFmtId="177" fontId="12" fillId="31" borderId="81" xfId="0" applyNumberFormat="1" applyFont="1" applyFill="1" applyBorder="1"/>
    <xf numFmtId="177" fontId="12" fillId="31" borderId="82" xfId="0" applyNumberFormat="1" applyFont="1" applyFill="1" applyBorder="1"/>
    <xf numFmtId="177" fontId="12" fillId="31" borderId="83" xfId="0" applyNumberFormat="1" applyFont="1" applyFill="1" applyBorder="1"/>
    <xf numFmtId="177" fontId="12" fillId="52" borderId="81" xfId="0" applyNumberFormat="1" applyFont="1" applyFill="1" applyBorder="1"/>
    <xf numFmtId="177" fontId="12" fillId="52" borderId="82" xfId="0" applyNumberFormat="1" applyFont="1" applyFill="1" applyBorder="1"/>
    <xf numFmtId="177" fontId="12" fillId="52" borderId="83" xfId="0" applyNumberFormat="1" applyFont="1" applyFill="1" applyBorder="1"/>
    <xf numFmtId="44" fontId="10" fillId="0" borderId="149" xfId="232" applyFont="1" applyFill="1" applyBorder="1"/>
    <xf numFmtId="0" fontId="86" fillId="24" borderId="112" xfId="210" applyFont="1" applyFill="1" applyBorder="1"/>
    <xf numFmtId="0" fontId="86" fillId="24" borderId="69" xfId="210" applyFont="1" applyFill="1" applyBorder="1"/>
    <xf numFmtId="0" fontId="86" fillId="0" borderId="69" xfId="210" applyFont="1" applyBorder="1"/>
    <xf numFmtId="0" fontId="126" fillId="53" borderId="76" xfId="210" applyFont="1" applyFill="1" applyBorder="1"/>
    <xf numFmtId="0" fontId="126" fillId="53" borderId="76" xfId="210" applyFont="1" applyFill="1" applyBorder="1" applyAlignment="1">
      <alignment horizontal="center"/>
    </xf>
    <xf numFmtId="0" fontId="127" fillId="54" borderId="34" xfId="210" applyFont="1" applyFill="1" applyBorder="1"/>
    <xf numFmtId="0" fontId="127" fillId="54" borderId="34" xfId="210" applyFont="1" applyFill="1" applyBorder="1" applyAlignment="1">
      <alignment horizontal="center"/>
    </xf>
    <xf numFmtId="171" fontId="127" fillId="54" borderId="34" xfId="219" applyNumberFormat="1" applyFont="1" applyFill="1" applyBorder="1"/>
    <xf numFmtId="0" fontId="127" fillId="54" borderId="30" xfId="210" applyFont="1" applyFill="1" applyBorder="1"/>
    <xf numFmtId="0" fontId="127" fillId="54" borderId="30" xfId="210" applyFont="1" applyFill="1" applyBorder="1" applyAlignment="1">
      <alignment horizontal="center"/>
    </xf>
    <xf numFmtId="171" fontId="127" fillId="54" borderId="30" xfId="219" applyNumberFormat="1" applyFont="1" applyFill="1" applyBorder="1"/>
    <xf numFmtId="0" fontId="127" fillId="0" borderId="30" xfId="210" applyFont="1" applyBorder="1"/>
    <xf numFmtId="0" fontId="127" fillId="0" borderId="30" xfId="210" applyFont="1" applyBorder="1" applyAlignment="1">
      <alignment horizontal="center"/>
    </xf>
    <xf numFmtId="0" fontId="128" fillId="55" borderId="76" xfId="210" applyFont="1" applyFill="1" applyBorder="1"/>
    <xf numFmtId="0" fontId="127" fillId="55" borderId="76" xfId="210" applyFont="1" applyFill="1" applyBorder="1"/>
    <xf numFmtId="171" fontId="128" fillId="55" borderId="76" xfId="210" applyNumberFormat="1" applyFont="1" applyFill="1" applyBorder="1"/>
    <xf numFmtId="41" fontId="127" fillId="54" borderId="30" xfId="210" applyNumberFormat="1" applyFont="1" applyFill="1" applyBorder="1"/>
    <xf numFmtId="0" fontId="127" fillId="54" borderId="35" xfId="210" applyFont="1" applyFill="1" applyBorder="1"/>
    <xf numFmtId="0" fontId="127" fillId="54" borderId="35" xfId="210" applyFont="1" applyFill="1" applyBorder="1" applyAlignment="1">
      <alignment horizontal="center"/>
    </xf>
    <xf numFmtId="171" fontId="127" fillId="0" borderId="35" xfId="219" applyNumberFormat="1" applyFont="1" applyFill="1" applyBorder="1"/>
    <xf numFmtId="0" fontId="127" fillId="0" borderId="0" xfId="210" applyFont="1"/>
    <xf numFmtId="171" fontId="127" fillId="54" borderId="35" xfId="219" applyNumberFormat="1" applyFont="1" applyFill="1" applyBorder="1"/>
    <xf numFmtId="171" fontId="127" fillId="0" borderId="34" xfId="219" applyNumberFormat="1" applyFont="1" applyFill="1" applyBorder="1"/>
    <xf numFmtId="0" fontId="128" fillId="55" borderId="76" xfId="210" applyFont="1" applyFill="1" applyBorder="1" applyAlignment="1">
      <alignment horizontal="center"/>
    </xf>
    <xf numFmtId="0" fontId="126" fillId="53" borderId="76" xfId="210" applyFont="1" applyFill="1" applyBorder="1" applyAlignment="1">
      <alignment horizontal="center" vertical="center"/>
    </xf>
    <xf numFmtId="0" fontId="127" fillId="54" borderId="34" xfId="210" applyFont="1" applyFill="1" applyBorder="1" applyAlignment="1">
      <alignment horizontal="left" vertical="center" indent="1"/>
    </xf>
    <xf numFmtId="0" fontId="127" fillId="54" borderId="34" xfId="210" applyFont="1" applyFill="1" applyBorder="1" applyAlignment="1">
      <alignment horizontal="center" vertical="center"/>
    </xf>
    <xf numFmtId="171" fontId="127" fillId="54" borderId="34" xfId="210" applyNumberFormat="1" applyFont="1" applyFill="1" applyBorder="1"/>
    <xf numFmtId="0" fontId="127" fillId="54" borderId="30" xfId="210" applyFont="1" applyFill="1" applyBorder="1" applyAlignment="1">
      <alignment horizontal="left" vertical="center" indent="1"/>
    </xf>
    <xf numFmtId="0" fontId="127" fillId="54" borderId="30" xfId="210" applyFont="1" applyFill="1" applyBorder="1" applyAlignment="1">
      <alignment horizontal="center" vertical="center"/>
    </xf>
    <xf numFmtId="171" fontId="127" fillId="54" borderId="30" xfId="210" applyNumberFormat="1" applyFont="1" applyFill="1" applyBorder="1"/>
    <xf numFmtId="0" fontId="127" fillId="54" borderId="41" xfId="210" applyFont="1" applyFill="1" applyBorder="1" applyAlignment="1">
      <alignment horizontal="left" vertical="center" indent="1"/>
    </xf>
    <xf numFmtId="0" fontId="127" fillId="54" borderId="41" xfId="210" applyFont="1" applyFill="1" applyBorder="1" applyAlignment="1">
      <alignment horizontal="center" vertical="center"/>
    </xf>
    <xf numFmtId="171" fontId="127" fillId="54" borderId="41" xfId="210" applyNumberFormat="1" applyFont="1" applyFill="1" applyBorder="1"/>
    <xf numFmtId="0" fontId="128" fillId="54" borderId="34" xfId="210" applyFont="1" applyFill="1" applyBorder="1" applyAlignment="1">
      <alignment vertical="center"/>
    </xf>
    <xf numFmtId="0" fontId="128" fillId="54" borderId="30" xfId="210" applyFont="1" applyFill="1" applyBorder="1" applyAlignment="1">
      <alignment horizontal="left" vertical="center"/>
    </xf>
    <xf numFmtId="171" fontId="128" fillId="54" borderId="30" xfId="210" applyNumberFormat="1" applyFont="1" applyFill="1" applyBorder="1"/>
    <xf numFmtId="0" fontId="128" fillId="54" borderId="30" xfId="210" applyFont="1" applyFill="1" applyBorder="1" applyAlignment="1">
      <alignment vertical="center"/>
    </xf>
    <xf numFmtId="0" fontId="128" fillId="55" borderId="76" xfId="210" applyFont="1" applyFill="1" applyBorder="1" applyAlignment="1">
      <alignment horizontal="center" vertical="center"/>
    </xf>
    <xf numFmtId="186" fontId="127" fillId="54" borderId="36" xfId="219" applyNumberFormat="1" applyFont="1" applyFill="1" applyBorder="1" applyAlignment="1">
      <alignment horizontal="center" vertical="center"/>
    </xf>
    <xf numFmtId="186" fontId="127" fillId="54" borderId="97" xfId="219" applyNumberFormat="1" applyFont="1" applyFill="1" applyBorder="1" applyAlignment="1">
      <alignment horizontal="center" vertical="center"/>
    </xf>
    <xf numFmtId="186" fontId="127" fillId="54" borderId="98" xfId="219" applyNumberFormat="1" applyFont="1" applyFill="1" applyBorder="1" applyAlignment="1">
      <alignment horizontal="center" vertical="center"/>
    </xf>
    <xf numFmtId="0" fontId="128" fillId="54" borderId="19" xfId="210" applyFont="1" applyFill="1" applyBorder="1" applyAlignment="1">
      <alignment vertical="center"/>
    </xf>
    <xf numFmtId="0" fontId="127" fillId="54" borderId="19" xfId="210" applyFont="1" applyFill="1" applyBorder="1" applyAlignment="1">
      <alignment horizontal="center" vertical="center"/>
    </xf>
    <xf numFmtId="171" fontId="128" fillId="54" borderId="19" xfId="210" applyNumberFormat="1" applyFont="1" applyFill="1" applyBorder="1"/>
    <xf numFmtId="0" fontId="128" fillId="55" borderId="78" xfId="210" applyFont="1" applyFill="1" applyBorder="1"/>
    <xf numFmtId="0" fontId="128" fillId="55" borderId="97" xfId="210" applyFont="1" applyFill="1" applyBorder="1" applyAlignment="1">
      <alignment horizontal="center" vertical="center"/>
    </xf>
    <xf numFmtId="171" fontId="128" fillId="55" borderId="97" xfId="210" applyNumberFormat="1" applyFont="1" applyFill="1" applyBorder="1"/>
    <xf numFmtId="3" fontId="70" fillId="32" borderId="30" xfId="226" applyNumberFormat="1" applyFont="1" applyFill="1" applyBorder="1" applyAlignment="1">
      <alignment horizontal="center"/>
    </xf>
    <xf numFmtId="3" fontId="129" fillId="56" borderId="34" xfId="0" applyNumberFormat="1" applyFont="1" applyFill="1" applyBorder="1" applyAlignment="1">
      <alignment horizontal="right"/>
    </xf>
    <xf numFmtId="3" fontId="129" fillId="56" borderId="30" xfId="0" applyNumberFormat="1" applyFont="1" applyFill="1" applyBorder="1" applyAlignment="1">
      <alignment horizontal="right"/>
    </xf>
    <xf numFmtId="3" fontId="129" fillId="56" borderId="34" xfId="0" applyNumberFormat="1" applyFont="1" applyFill="1" applyBorder="1" applyAlignment="1">
      <alignment horizontal="center"/>
    </xf>
    <xf numFmtId="3" fontId="129" fillId="56" borderId="30" xfId="0" applyNumberFormat="1" applyFont="1" applyFill="1" applyBorder="1" applyAlignment="1">
      <alignment horizontal="center"/>
    </xf>
    <xf numFmtId="3" fontId="129" fillId="56" borderId="35" xfId="0" applyNumberFormat="1" applyFont="1" applyFill="1" applyBorder="1" applyAlignment="1">
      <alignment horizontal="center"/>
    </xf>
    <xf numFmtId="3" fontId="130" fillId="58" borderId="80" xfId="0" applyNumberFormat="1" applyFont="1" applyFill="1" applyBorder="1"/>
    <xf numFmtId="3" fontId="130" fillId="58" borderId="123" xfId="0" applyNumberFormat="1" applyFont="1" applyFill="1" applyBorder="1"/>
    <xf numFmtId="3" fontId="130" fillId="58" borderId="107" xfId="0" applyNumberFormat="1" applyFont="1" applyFill="1" applyBorder="1"/>
    <xf numFmtId="3" fontId="70" fillId="57" borderId="80" xfId="0" applyNumberFormat="1" applyFont="1" applyFill="1" applyBorder="1"/>
    <xf numFmtId="3" fontId="70" fillId="57" borderId="123" xfId="0" applyNumberFormat="1" applyFont="1" applyFill="1" applyBorder="1"/>
    <xf numFmtId="3" fontId="70" fillId="57" borderId="107" xfId="0" applyNumberFormat="1" applyFont="1" applyFill="1" applyBorder="1"/>
    <xf numFmtId="3" fontId="70" fillId="57" borderId="123" xfId="0" applyNumberFormat="1" applyFont="1" applyFill="1" applyBorder="1" applyAlignment="1">
      <alignment horizontal="right" vertical="center"/>
    </xf>
    <xf numFmtId="3" fontId="70" fillId="57" borderId="107" xfId="0" applyNumberFormat="1" applyFont="1" applyFill="1" applyBorder="1" applyAlignment="1">
      <alignment horizontal="right"/>
    </xf>
    <xf numFmtId="0" fontId="15" fillId="0" borderId="102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43" fontId="15" fillId="0" borderId="153" xfId="0" applyNumberFormat="1" applyFont="1" applyBorder="1"/>
    <xf numFmtId="0" fontId="15" fillId="0" borderId="46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43" fontId="15" fillId="0" borderId="154" xfId="0" applyNumberFormat="1" applyFont="1" applyBorder="1"/>
    <xf numFmtId="43" fontId="15" fillId="48" borderId="52" xfId="0" applyNumberFormat="1" applyFont="1" applyFill="1" applyBorder="1"/>
    <xf numFmtId="43" fontId="15" fillId="48" borderId="154" xfId="0" applyNumberFormat="1" applyFont="1" applyFill="1" applyBorder="1"/>
    <xf numFmtId="3" fontId="131" fillId="32" borderId="30" xfId="226" applyNumberFormat="1" applyFont="1" applyFill="1" applyBorder="1" applyAlignment="1">
      <alignment horizontal="center"/>
    </xf>
    <xf numFmtId="0" fontId="10" fillId="36" borderId="49" xfId="0" applyFont="1" applyFill="1" applyBorder="1"/>
    <xf numFmtId="0" fontId="15" fillId="31" borderId="45" xfId="0" applyFont="1" applyFill="1" applyBorder="1"/>
    <xf numFmtId="0" fontId="10" fillId="31" borderId="53" xfId="0" applyFont="1" applyFill="1" applyBorder="1"/>
    <xf numFmtId="0" fontId="15" fillId="0" borderId="101" xfId="0" applyFont="1" applyBorder="1" applyAlignment="1">
      <alignment horizontal="center"/>
    </xf>
    <xf numFmtId="43" fontId="15" fillId="62" borderId="48" xfId="0" applyNumberFormat="1" applyFont="1" applyFill="1" applyBorder="1"/>
    <xf numFmtId="43" fontId="15" fillId="62" borderId="52" xfId="0" applyNumberFormat="1" applyFont="1" applyFill="1" applyBorder="1"/>
    <xf numFmtId="43" fontId="11" fillId="62" borderId="52" xfId="0" applyNumberFormat="1" applyFont="1" applyFill="1" applyBorder="1"/>
    <xf numFmtId="0" fontId="15" fillId="31" borderId="49" xfId="0" applyFont="1" applyFill="1" applyBorder="1"/>
    <xf numFmtId="0" fontId="10" fillId="36" borderId="45" xfId="0" applyFont="1" applyFill="1" applyBorder="1"/>
    <xf numFmtId="0" fontId="15" fillId="36" borderId="49" xfId="0" applyFont="1" applyFill="1" applyBorder="1"/>
    <xf numFmtId="0" fontId="15" fillId="36" borderId="53" xfId="0" applyFont="1" applyFill="1" applyBorder="1"/>
    <xf numFmtId="0" fontId="125" fillId="0" borderId="130" xfId="226" applyFont="1" applyBorder="1" applyAlignment="1">
      <alignment horizontal="left" indent="1"/>
    </xf>
    <xf numFmtId="43" fontId="85" fillId="62" borderId="52" xfId="0" applyNumberFormat="1" applyFont="1" applyFill="1" applyBorder="1"/>
    <xf numFmtId="43" fontId="85" fillId="62" borderId="154" xfId="0" applyNumberFormat="1" applyFont="1" applyFill="1" applyBorder="1"/>
    <xf numFmtId="43" fontId="11" fillId="0" borderId="48" xfId="0" applyNumberFormat="1" applyFont="1" applyBorder="1"/>
    <xf numFmtId="0" fontId="10" fillId="59" borderId="53" xfId="0" applyFont="1" applyFill="1" applyBorder="1"/>
    <xf numFmtId="43" fontId="11" fillId="37" borderId="48" xfId="0" applyNumberFormat="1" applyFont="1" applyFill="1" applyBorder="1"/>
    <xf numFmtId="43" fontId="11" fillId="37" borderId="52" xfId="0" applyNumberFormat="1" applyFont="1" applyFill="1" applyBorder="1"/>
    <xf numFmtId="43" fontId="15" fillId="37" borderId="154" xfId="0" applyNumberFormat="1" applyFont="1" applyFill="1" applyBorder="1"/>
    <xf numFmtId="0" fontId="15" fillId="0" borderId="75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43" fontId="11" fillId="48" borderId="155" xfId="0" applyNumberFormat="1" applyFont="1" applyFill="1" applyBorder="1"/>
    <xf numFmtId="43" fontId="15" fillId="0" borderId="155" xfId="0" applyNumberFormat="1" applyFont="1" applyBorder="1"/>
    <xf numFmtId="43" fontId="11" fillId="48" borderId="153" xfId="0" applyNumberFormat="1" applyFont="1" applyFill="1" applyBorder="1"/>
    <xf numFmtId="0" fontId="15" fillId="0" borderId="37" xfId="0" applyFont="1" applyBorder="1" applyAlignment="1">
      <alignment horizontal="center"/>
    </xf>
    <xf numFmtId="0" fontId="15" fillId="0" borderId="130" xfId="0" applyFont="1" applyBorder="1" applyAlignment="1">
      <alignment horizontal="center"/>
    </xf>
    <xf numFmtId="43" fontId="11" fillId="0" borderId="156" xfId="0" applyNumberFormat="1" applyFont="1" applyBorder="1"/>
    <xf numFmtId="43" fontId="15" fillId="0" borderId="156" xfId="0" applyNumberFormat="1" applyFont="1" applyBorder="1"/>
    <xf numFmtId="43" fontId="15" fillId="66" borderId="154" xfId="0" applyNumberFormat="1" applyFont="1" applyFill="1" applyBorder="1"/>
    <xf numFmtId="0" fontId="15" fillId="45" borderId="118" xfId="0" applyFont="1" applyFill="1" applyBorder="1"/>
    <xf numFmtId="0" fontId="15" fillId="59" borderId="31" xfId="0" applyFont="1" applyFill="1" applyBorder="1"/>
    <xf numFmtId="0" fontId="15" fillId="59" borderId="94" xfId="0" applyFont="1" applyFill="1" applyBorder="1"/>
    <xf numFmtId="0" fontId="10" fillId="59" borderId="49" xfId="0" applyFont="1" applyFill="1" applyBorder="1"/>
    <xf numFmtId="0" fontId="10" fillId="45" borderId="11" xfId="0" applyFont="1" applyFill="1" applyBorder="1"/>
    <xf numFmtId="0" fontId="55" fillId="45" borderId="108" xfId="0" applyFont="1" applyFill="1" applyBorder="1"/>
    <xf numFmtId="0" fontId="85" fillId="0" borderId="101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43" fontId="15" fillId="0" borderId="79" xfId="0" applyNumberFormat="1" applyFont="1" applyBorder="1"/>
    <xf numFmtId="0" fontId="59" fillId="60" borderId="81" xfId="0" applyFont="1" applyFill="1" applyBorder="1"/>
    <xf numFmtId="43" fontId="11" fillId="56" borderId="79" xfId="0" applyNumberFormat="1" applyFont="1" applyFill="1" applyBorder="1"/>
    <xf numFmtId="0" fontId="59" fillId="65" borderId="45" xfId="0" applyFont="1" applyFill="1" applyBorder="1"/>
    <xf numFmtId="0" fontId="59" fillId="65" borderId="53" xfId="0" applyFont="1" applyFill="1" applyBorder="1"/>
    <xf numFmtId="0" fontId="59" fillId="61" borderId="11" xfId="0" applyFont="1" applyFill="1" applyBorder="1"/>
    <xf numFmtId="43" fontId="11" fillId="64" borderId="48" xfId="0" applyNumberFormat="1" applyFont="1" applyFill="1" applyBorder="1"/>
    <xf numFmtId="43" fontId="11" fillId="64" borderId="154" xfId="0" applyNumberFormat="1" applyFont="1" applyFill="1" applyBorder="1"/>
    <xf numFmtId="43" fontId="11" fillId="63" borderId="0" xfId="0" applyNumberFormat="1" applyFont="1" applyFill="1"/>
    <xf numFmtId="171" fontId="86" fillId="0" borderId="44" xfId="216" applyNumberFormat="1" applyFont="1" applyFill="1" applyBorder="1"/>
    <xf numFmtId="0" fontId="86" fillId="24" borderId="103" xfId="210" applyFont="1" applyFill="1" applyBorder="1"/>
    <xf numFmtId="0" fontId="86" fillId="24" borderId="41" xfId="210" applyFont="1" applyFill="1" applyBorder="1" applyAlignment="1">
      <alignment horizontal="center"/>
    </xf>
    <xf numFmtId="171" fontId="86" fillId="24" borderId="41" xfId="216" applyNumberFormat="1" applyFont="1" applyFill="1" applyBorder="1"/>
    <xf numFmtId="43" fontId="10" fillId="0" borderId="136" xfId="40" applyFont="1" applyBorder="1"/>
    <xf numFmtId="172" fontId="77" fillId="32" borderId="23" xfId="173" applyNumberFormat="1" applyFont="1" applyFill="1" applyBorder="1"/>
    <xf numFmtId="186" fontId="86" fillId="24" borderId="30" xfId="216" applyNumberFormat="1" applyFont="1" applyFill="1" applyBorder="1"/>
    <xf numFmtId="43" fontId="86" fillId="0" borderId="0" xfId="40" applyFont="1"/>
    <xf numFmtId="0" fontId="20" fillId="0" borderId="148" xfId="40" applyNumberFormat="1" applyFont="1" applyFill="1" applyBorder="1" applyAlignment="1">
      <alignment horizontal="center"/>
    </xf>
    <xf numFmtId="0" fontId="0" fillId="67" borderId="88" xfId="0" applyFill="1" applyBorder="1"/>
    <xf numFmtId="0" fontId="0" fillId="67" borderId="93" xfId="0" applyFill="1" applyBorder="1"/>
    <xf numFmtId="0" fontId="133" fillId="0" borderId="0" xfId="0" applyFont="1"/>
    <xf numFmtId="0" fontId="11" fillId="0" borderId="54" xfId="0" applyFont="1" applyBorder="1"/>
    <xf numFmtId="0" fontId="0" fillId="0" borderId="55" xfId="0" applyBorder="1"/>
    <xf numFmtId="0" fontId="55" fillId="0" borderId="55" xfId="0" applyFont="1" applyBorder="1"/>
    <xf numFmtId="0" fontId="11" fillId="0" borderId="55" xfId="0" applyFont="1" applyBorder="1"/>
    <xf numFmtId="43" fontId="0" fillId="0" borderId="55" xfId="40" applyFont="1" applyFill="1" applyBorder="1"/>
    <xf numFmtId="43" fontId="55" fillId="0" borderId="55" xfId="40" applyFont="1" applyFill="1" applyBorder="1"/>
    <xf numFmtId="43" fontId="11" fillId="24" borderId="55" xfId="40" applyFont="1" applyFill="1" applyBorder="1"/>
    <xf numFmtId="4" fontId="0" fillId="0" borderId="55" xfId="0" applyNumberFormat="1" applyBorder="1"/>
    <xf numFmtId="164" fontId="10" fillId="67" borderId="62" xfId="44" applyFill="1" applyBorder="1"/>
    <xf numFmtId="0" fontId="85" fillId="0" borderId="49" xfId="0" applyFont="1" applyBorder="1" applyAlignment="1">
      <alignment horizontal="center" wrapText="1"/>
    </xf>
    <xf numFmtId="0" fontId="15" fillId="0" borderId="157" xfId="0" applyFont="1" applyBorder="1"/>
    <xf numFmtId="0" fontId="15" fillId="0" borderId="158" xfId="0" applyFont="1" applyBorder="1"/>
    <xf numFmtId="0" fontId="15" fillId="0" borderId="158" xfId="0" applyFont="1" applyBorder="1" applyAlignment="1">
      <alignment horizontal="center" wrapText="1"/>
    </xf>
    <xf numFmtId="0" fontId="15" fillId="0" borderId="159" xfId="0" applyFont="1" applyBorder="1"/>
    <xf numFmtId="164" fontId="10" fillId="67" borderId="73" xfId="44" applyFill="1" applyBorder="1"/>
    <xf numFmtId="43" fontId="57" fillId="28" borderId="98" xfId="0" applyNumberFormat="1" applyFont="1" applyFill="1" applyBorder="1" applyAlignment="1">
      <alignment vertical="center" wrapText="1"/>
    </xf>
    <xf numFmtId="198" fontId="0" fillId="0" borderId="0" xfId="40" applyNumberFormat="1" applyFont="1" applyBorder="1"/>
    <xf numFmtId="164" fontId="11" fillId="0" borderId="160" xfId="44" applyFont="1" applyFill="1" applyBorder="1" applyAlignment="1">
      <alignment horizontal="left"/>
    </xf>
    <xf numFmtId="0" fontId="0" fillId="0" borderId="40" xfId="0" applyBorder="1"/>
    <xf numFmtId="0" fontId="0" fillId="0" borderId="160" xfId="0" applyBorder="1"/>
    <xf numFmtId="0" fontId="0" fillId="0" borderId="161" xfId="0" applyBorder="1"/>
    <xf numFmtId="164" fontId="10" fillId="0" borderId="73" xfId="44" applyFont="1" applyFill="1" applyBorder="1"/>
    <xf numFmtId="164" fontId="10" fillId="0" borderId="91" xfId="44" applyFill="1" applyBorder="1"/>
    <xf numFmtId="164" fontId="11" fillId="0" borderId="162" xfId="44" applyFont="1" applyFill="1" applyBorder="1" applyAlignment="1">
      <alignment horizontal="center"/>
    </xf>
    <xf numFmtId="0" fontId="11" fillId="0" borderId="40" xfId="0" applyFont="1" applyBorder="1"/>
    <xf numFmtId="0" fontId="0" fillId="67" borderId="38" xfId="0" applyFill="1" applyBorder="1"/>
    <xf numFmtId="0" fontId="0" fillId="0" borderId="38" xfId="0" applyBorder="1"/>
    <xf numFmtId="0" fontId="0" fillId="67" borderId="84" xfId="0" applyFill="1" applyBorder="1"/>
    <xf numFmtId="43" fontId="11" fillId="24" borderId="68" xfId="40" applyFont="1" applyFill="1" applyBorder="1"/>
    <xf numFmtId="4" fontId="0" fillId="0" borderId="38" xfId="0" applyNumberFormat="1" applyBorder="1"/>
    <xf numFmtId="4" fontId="85" fillId="67" borderId="73" xfId="0" applyNumberFormat="1" applyFont="1" applyFill="1" applyBorder="1"/>
    <xf numFmtId="164" fontId="11" fillId="67" borderId="62" xfId="44" applyFont="1" applyFill="1" applyBorder="1"/>
    <xf numFmtId="0" fontId="135" fillId="67" borderId="19" xfId="0" applyFont="1" applyFill="1" applyBorder="1"/>
    <xf numFmtId="43" fontId="11" fillId="24" borderId="19" xfId="40" applyFont="1" applyFill="1" applyBorder="1" applyAlignment="1">
      <alignment horizontal="center"/>
    </xf>
    <xf numFmtId="0" fontId="0" fillId="0" borderId="107" xfId="0" applyBorder="1"/>
    <xf numFmtId="43" fontId="12" fillId="29" borderId="104" xfId="0" applyNumberFormat="1" applyFont="1" applyFill="1" applyBorder="1"/>
    <xf numFmtId="0" fontId="23" fillId="0" borderId="78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/>
    <xf numFmtId="0" fontId="57" fillId="28" borderId="118" xfId="0" applyFont="1" applyFill="1" applyBorder="1" applyAlignment="1">
      <alignment horizontal="center" vertical="center" wrapText="1"/>
    </xf>
    <xf numFmtId="0" fontId="57" fillId="28" borderId="103" xfId="0" applyFont="1" applyFill="1" applyBorder="1" applyAlignment="1">
      <alignment horizontal="center" vertical="center" wrapText="1"/>
    </xf>
    <xf numFmtId="0" fontId="57" fillId="28" borderId="75" xfId="0" applyFont="1" applyFill="1" applyBorder="1" applyAlignment="1">
      <alignment horizontal="center" vertical="center" wrapText="1"/>
    </xf>
    <xf numFmtId="0" fontId="57" fillId="28" borderId="42" xfId="0" applyFont="1" applyFill="1" applyBorder="1" applyAlignment="1">
      <alignment horizontal="center" vertical="center" wrapText="1"/>
    </xf>
    <xf numFmtId="164" fontId="12" fillId="0" borderId="28" xfId="44" applyFont="1" applyFill="1" applyBorder="1" applyAlignment="1">
      <alignment horizontal="center"/>
    </xf>
    <xf numFmtId="164" fontId="12" fillId="0" borderId="25" xfId="44" applyFont="1" applyFill="1" applyBorder="1" applyAlignment="1">
      <alignment horizontal="center"/>
    </xf>
    <xf numFmtId="0" fontId="57" fillId="28" borderId="33" xfId="0" applyFont="1" applyFill="1" applyBorder="1" applyAlignment="1">
      <alignment horizontal="center" vertical="center" wrapText="1"/>
    </xf>
    <xf numFmtId="0" fontId="57" fillId="28" borderId="113" xfId="0" applyFont="1" applyFill="1" applyBorder="1" applyAlignment="1">
      <alignment horizontal="center" vertical="center" wrapText="1"/>
    </xf>
    <xf numFmtId="0" fontId="57" fillId="28" borderId="112" xfId="0" applyFont="1" applyFill="1" applyBorder="1" applyAlignment="1">
      <alignment horizontal="center" vertical="center" wrapText="1"/>
    </xf>
    <xf numFmtId="0" fontId="57" fillId="28" borderId="96" xfId="0" applyFont="1" applyFill="1" applyBorder="1" applyAlignment="1">
      <alignment horizontal="center" vertical="center" wrapText="1"/>
    </xf>
    <xf numFmtId="164" fontId="12" fillId="0" borderId="72" xfId="44" applyFont="1" applyFill="1" applyBorder="1" applyAlignment="1">
      <alignment horizontal="center"/>
    </xf>
    <xf numFmtId="164" fontId="12" fillId="0" borderId="70" xfId="44" applyFont="1" applyFill="1" applyBorder="1" applyAlignment="1">
      <alignment horizontal="center"/>
    </xf>
    <xf numFmtId="0" fontId="57" fillId="28" borderId="34" xfId="0" applyFont="1" applyFill="1" applyBorder="1" applyAlignment="1">
      <alignment horizontal="center" vertical="center" wrapText="1"/>
    </xf>
    <xf numFmtId="0" fontId="57" fillId="28" borderId="41" xfId="0" applyFont="1" applyFill="1" applyBorder="1" applyAlignment="1">
      <alignment horizontal="center" vertical="center" wrapText="1"/>
    </xf>
    <xf numFmtId="0" fontId="57" fillId="28" borderId="27" xfId="0" applyFont="1" applyFill="1" applyBorder="1" applyAlignment="1">
      <alignment horizontal="center" vertical="center" wrapText="1"/>
    </xf>
    <xf numFmtId="0" fontId="57" fillId="28" borderId="43" xfId="0" applyFont="1" applyFill="1" applyBorder="1" applyAlignment="1">
      <alignment horizontal="center" vertical="center" wrapText="1"/>
    </xf>
    <xf numFmtId="0" fontId="57" fillId="28" borderId="125" xfId="0" applyFont="1" applyFill="1" applyBorder="1" applyAlignment="1">
      <alignment horizontal="center" vertical="center" wrapText="1"/>
    </xf>
    <xf numFmtId="0" fontId="46" fillId="26" borderId="44" xfId="0" applyFont="1" applyFill="1" applyBorder="1" applyAlignment="1">
      <alignment horizontal="center" vertical="center" wrapText="1"/>
    </xf>
    <xf numFmtId="0" fontId="46" fillId="26" borderId="41" xfId="0" applyFont="1" applyFill="1" applyBorder="1" applyAlignment="1">
      <alignment horizontal="center" vertical="center" wrapText="1"/>
    </xf>
    <xf numFmtId="0" fontId="46" fillId="26" borderId="120" xfId="0" applyFont="1" applyFill="1" applyBorder="1" applyAlignment="1">
      <alignment horizontal="center" wrapText="1"/>
    </xf>
    <xf numFmtId="0" fontId="46" fillId="26" borderId="121" xfId="0" applyFont="1" applyFill="1" applyBorder="1" applyAlignment="1">
      <alignment horizontal="center" wrapText="1"/>
    </xf>
    <xf numFmtId="0" fontId="46" fillId="26" borderId="19" xfId="0" applyFont="1" applyFill="1" applyBorder="1" applyAlignment="1">
      <alignment horizontal="center" vertical="center"/>
    </xf>
    <xf numFmtId="0" fontId="46" fillId="26" borderId="19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64" fontId="12" fillId="0" borderId="27" xfId="44" applyFont="1" applyFill="1" applyBorder="1" applyAlignment="1">
      <alignment horizontal="center" vertical="center" wrapText="1"/>
    </xf>
    <xf numFmtId="164" fontId="12" fillId="0" borderId="43" xfId="44" applyFont="1" applyFill="1" applyBorder="1" applyAlignment="1">
      <alignment horizontal="center" vertical="center" wrapText="1"/>
    </xf>
    <xf numFmtId="164" fontId="12" fillId="0" borderId="28" xfId="44" applyFont="1" applyFill="1" applyBorder="1" applyAlignment="1">
      <alignment horizontal="center" vertical="center" wrapText="1"/>
    </xf>
    <xf numFmtId="164" fontId="12" fillId="0" borderId="72" xfId="44" applyFont="1" applyFill="1" applyBorder="1" applyAlignment="1">
      <alignment horizontal="center" vertical="center" wrapText="1"/>
    </xf>
    <xf numFmtId="164" fontId="12" fillId="0" borderId="114" xfId="44" applyFont="1" applyFill="1" applyBorder="1" applyAlignment="1">
      <alignment horizontal="center" vertical="center" wrapText="1"/>
    </xf>
    <xf numFmtId="164" fontId="12" fillId="0" borderId="115" xfId="44" applyFont="1" applyFill="1" applyBorder="1" applyAlignment="1">
      <alignment horizontal="center" vertical="center" wrapText="1"/>
    </xf>
    <xf numFmtId="0" fontId="46" fillId="26" borderId="24" xfId="0" applyFont="1" applyFill="1" applyBorder="1" applyAlignment="1">
      <alignment horizontal="center" wrapText="1"/>
    </xf>
    <xf numFmtId="164" fontId="46" fillId="26" borderId="19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12" fillId="0" borderId="0" xfId="173" applyFont="1" applyAlignment="1">
      <alignment horizontal="center"/>
    </xf>
    <xf numFmtId="0" fontId="23" fillId="0" borderId="0" xfId="173" applyFont="1" applyAlignment="1">
      <alignment horizontal="center"/>
    </xf>
    <xf numFmtId="0" fontId="46" fillId="26" borderId="19" xfId="173" applyFont="1" applyFill="1" applyBorder="1" applyAlignment="1">
      <alignment horizontal="center" vertical="center" wrapText="1"/>
    </xf>
    <xf numFmtId="0" fontId="46" fillId="26" borderId="44" xfId="173" applyFont="1" applyFill="1" applyBorder="1" applyAlignment="1">
      <alignment horizontal="center" vertical="center" wrapText="1"/>
    </xf>
    <xf numFmtId="0" fontId="46" fillId="26" borderId="41" xfId="173" applyFont="1" applyFill="1" applyBorder="1" applyAlignment="1">
      <alignment horizontal="center" vertical="center" wrapText="1"/>
    </xf>
    <xf numFmtId="0" fontId="46" fillId="26" borderId="19" xfId="173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8" fillId="28" borderId="27" xfId="0" applyFont="1" applyFill="1" applyBorder="1" applyAlignment="1">
      <alignment horizontal="center" wrapText="1"/>
    </xf>
    <xf numFmtId="0" fontId="58" fillId="28" borderId="28" xfId="0" applyFont="1" applyFill="1" applyBorder="1" applyAlignment="1">
      <alignment horizontal="center" wrapText="1"/>
    </xf>
    <xf numFmtId="0" fontId="58" fillId="28" borderId="120" xfId="0" applyFont="1" applyFill="1" applyBorder="1" applyAlignment="1">
      <alignment horizontal="center" wrapText="1"/>
    </xf>
    <xf numFmtId="0" fontId="58" fillId="28" borderId="121" xfId="0" applyFont="1" applyFill="1" applyBorder="1" applyAlignment="1">
      <alignment horizont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170" fontId="11" fillId="0" borderId="81" xfId="0" applyNumberFormat="1" applyFont="1" applyBorder="1" applyAlignment="1">
      <alignment horizontal="center" vertical="center" wrapText="1"/>
    </xf>
    <xf numFmtId="170" fontId="11" fillId="0" borderId="82" xfId="0" applyNumberFormat="1" applyFont="1" applyBorder="1" applyAlignment="1">
      <alignment horizontal="center" vertical="center" wrapText="1"/>
    </xf>
    <xf numFmtId="170" fontId="11" fillId="0" borderId="83" xfId="0" applyNumberFormat="1" applyFont="1" applyBorder="1" applyAlignment="1">
      <alignment horizontal="center" vertical="center" wrapText="1"/>
    </xf>
    <xf numFmtId="0" fontId="61" fillId="28" borderId="45" xfId="0" applyFont="1" applyFill="1" applyBorder="1" applyAlignment="1">
      <alignment horizontal="center" wrapText="1"/>
    </xf>
    <xf numFmtId="0" fontId="61" fillId="28" borderId="53" xfId="0" applyFont="1" applyFill="1" applyBorder="1" applyAlignment="1">
      <alignment horizontal="center" wrapText="1"/>
    </xf>
    <xf numFmtId="0" fontId="61" fillId="28" borderId="54" xfId="0" applyFont="1" applyFill="1" applyBorder="1" applyAlignment="1">
      <alignment horizontal="center" wrapText="1"/>
    </xf>
    <xf numFmtId="0" fontId="61" fillId="28" borderId="56" xfId="0" applyFont="1" applyFill="1" applyBorder="1" applyAlignment="1">
      <alignment horizontal="center" wrapText="1"/>
    </xf>
    <xf numFmtId="170" fontId="15" fillId="0" borderId="75" xfId="46" applyNumberFormat="1" applyFont="1" applyFill="1" applyBorder="1" applyAlignment="1">
      <alignment horizontal="center" vertical="center" wrapText="1"/>
    </xf>
    <xf numFmtId="170" fontId="15" fillId="0" borderId="104" xfId="46" applyNumberFormat="1" applyFont="1" applyFill="1" applyBorder="1" applyAlignment="1">
      <alignment horizontal="center" vertical="center" wrapText="1"/>
    </xf>
    <xf numFmtId="0" fontId="58" fillId="28" borderId="77" xfId="0" applyFont="1" applyFill="1" applyBorder="1" applyAlignment="1">
      <alignment horizontal="center" vertical="center" wrapText="1"/>
    </xf>
    <xf numFmtId="0" fontId="58" fillId="28" borderId="117" xfId="0" applyFont="1" applyFill="1" applyBorder="1" applyAlignment="1">
      <alignment horizontal="center" vertical="center" wrapText="1"/>
    </xf>
    <xf numFmtId="0" fontId="58" fillId="28" borderId="118" xfId="0" applyFont="1" applyFill="1" applyBorder="1" applyAlignment="1">
      <alignment horizontal="center" vertical="center" wrapText="1"/>
    </xf>
    <xf numFmtId="0" fontId="58" fillId="28" borderId="10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3" fontId="10" fillId="0" borderId="11" xfId="0" applyNumberFormat="1" applyFont="1" applyBorder="1" applyAlignment="1">
      <alignment horizontal="left" wrapText="1"/>
    </xf>
    <xf numFmtId="43" fontId="10" fillId="0" borderId="0" xfId="0" applyNumberFormat="1" applyFont="1" applyAlignment="1">
      <alignment horizontal="left" wrapText="1"/>
    </xf>
    <xf numFmtId="0" fontId="11" fillId="0" borderId="32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58" fillId="28" borderId="82" xfId="0" applyFont="1" applyFill="1" applyBorder="1" applyAlignment="1">
      <alignment horizontal="center" vertical="center" wrapText="1"/>
    </xf>
    <xf numFmtId="0" fontId="58" fillId="28" borderId="8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21" fillId="0" borderId="0" xfId="233" applyFont="1" applyAlignment="1">
      <alignment horizontal="center" vertical="center" wrapText="1"/>
    </xf>
    <xf numFmtId="0" fontId="21" fillId="24" borderId="0" xfId="233" applyFont="1" applyFill="1" applyAlignment="1">
      <alignment horizontal="center" vertical="center" wrapText="1"/>
    </xf>
    <xf numFmtId="0" fontId="23" fillId="24" borderId="0" xfId="233" applyFont="1" applyFill="1" applyAlignment="1">
      <alignment horizontal="center"/>
    </xf>
    <xf numFmtId="0" fontId="21" fillId="0" borderId="0" xfId="0" applyFont="1" applyAlignment="1">
      <alignment horizontal="center"/>
    </xf>
    <xf numFmtId="4" fontId="50" fillId="26" borderId="99" xfId="0" applyNumberFormat="1" applyFont="1" applyFill="1" applyBorder="1" applyAlignment="1">
      <alignment horizontal="center" vertical="center" wrapText="1"/>
    </xf>
    <xf numFmtId="4" fontId="50" fillId="26" borderId="84" xfId="0" applyNumberFormat="1" applyFont="1" applyFill="1" applyBorder="1" applyAlignment="1">
      <alignment horizontal="center" vertical="center" wrapText="1"/>
    </xf>
    <xf numFmtId="4" fontId="50" fillId="26" borderId="46" xfId="0" applyNumberFormat="1" applyFont="1" applyFill="1" applyBorder="1" applyAlignment="1">
      <alignment horizontal="center" vertical="center" wrapText="1"/>
    </xf>
    <xf numFmtId="4" fontId="50" fillId="26" borderId="119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43" fontId="21" fillId="0" borderId="0" xfId="40" applyFont="1" applyFill="1" applyBorder="1" applyAlignment="1">
      <alignment horizontal="center"/>
    </xf>
    <xf numFmtId="4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50" fillId="26" borderId="47" xfId="0" applyNumberFormat="1" applyFont="1" applyFill="1" applyBorder="1" applyAlignment="1">
      <alignment horizontal="center" vertical="center" wrapText="1"/>
    </xf>
    <xf numFmtId="4" fontId="50" fillId="26" borderId="110" xfId="0" applyNumberFormat="1" applyFont="1" applyFill="1" applyBorder="1" applyAlignment="1">
      <alignment horizontal="center" vertical="center" wrapText="1"/>
    </xf>
    <xf numFmtId="0" fontId="67" fillId="35" borderId="81" xfId="226" applyFont="1" applyFill="1" applyBorder="1" applyAlignment="1">
      <alignment horizontal="center"/>
    </xf>
    <xf numFmtId="0" fontId="67" fillId="35" borderId="83" xfId="226" applyFont="1" applyFill="1" applyBorder="1" applyAlignment="1">
      <alignment horizontal="center"/>
    </xf>
    <xf numFmtId="0" fontId="67" fillId="35" borderId="0" xfId="226" applyFont="1" applyFill="1" applyAlignment="1">
      <alignment horizontal="center"/>
    </xf>
    <xf numFmtId="167" fontId="71" fillId="48" borderId="26" xfId="227" applyNumberFormat="1" applyFont="1" applyFill="1" applyBorder="1" applyAlignment="1">
      <alignment horizontal="right" vertical="center"/>
    </xf>
    <xf numFmtId="0" fontId="0" fillId="48" borderId="26" xfId="0" applyFill="1" applyBorder="1" applyAlignment="1">
      <alignment horizontal="right" vertical="center"/>
    </xf>
    <xf numFmtId="0" fontId="67" fillId="35" borderId="82" xfId="226" applyFont="1" applyFill="1" applyBorder="1" applyAlignment="1">
      <alignment horizontal="center"/>
    </xf>
    <xf numFmtId="3" fontId="71" fillId="36" borderId="0" xfId="21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70" fillId="57" borderId="123" xfId="0" applyNumberFormat="1" applyFont="1" applyFill="1" applyBorder="1" applyAlignment="1">
      <alignment horizontal="right" vertical="center"/>
    </xf>
    <xf numFmtId="3" fontId="3" fillId="0" borderId="32" xfId="226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226" applyNumberFormat="1" applyAlignment="1">
      <alignment vertical="center"/>
    </xf>
    <xf numFmtId="3" fontId="70" fillId="57" borderId="80" xfId="0" applyNumberFormat="1" applyFont="1" applyFill="1" applyBorder="1" applyAlignment="1">
      <alignment horizontal="right" vertical="center"/>
    </xf>
    <xf numFmtId="167" fontId="71" fillId="36" borderId="39" xfId="227" applyNumberFormat="1" applyFont="1" applyFill="1" applyBorder="1" applyAlignment="1">
      <alignment horizontal="right" vertical="center"/>
    </xf>
    <xf numFmtId="0" fontId="0" fillId="0" borderId="26" xfId="0" applyBorder="1"/>
    <xf numFmtId="167" fontId="71" fillId="0" borderId="26" xfId="227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67" fillId="35" borderId="81" xfId="226" applyFont="1" applyFill="1" applyBorder="1" applyAlignment="1">
      <alignment horizontal="center" vertical="center"/>
    </xf>
    <xf numFmtId="0" fontId="67" fillId="35" borderId="82" xfId="226" applyFont="1" applyFill="1" applyBorder="1" applyAlignment="1">
      <alignment horizontal="center" vertical="center"/>
    </xf>
    <xf numFmtId="0" fontId="67" fillId="35" borderId="83" xfId="226" applyFont="1" applyFill="1" applyBorder="1" applyAlignment="1">
      <alignment horizontal="center" vertical="center"/>
    </xf>
    <xf numFmtId="0" fontId="69" fillId="35" borderId="81" xfId="226" applyFont="1" applyFill="1" applyBorder="1" applyAlignment="1">
      <alignment horizontal="center" vertical="center"/>
    </xf>
    <xf numFmtId="0" fontId="69" fillId="35" borderId="83" xfId="226" applyFont="1" applyFill="1" applyBorder="1" applyAlignment="1">
      <alignment horizontal="center" vertical="center"/>
    </xf>
    <xf numFmtId="0" fontId="76" fillId="33" borderId="83" xfId="210" applyFont="1" applyFill="1" applyBorder="1" applyAlignment="1">
      <alignment horizontal="left" vertical="center"/>
    </xf>
    <xf numFmtId="0" fontId="76" fillId="33" borderId="76" xfId="210" applyFont="1" applyFill="1" applyBorder="1" applyAlignment="1">
      <alignment horizontal="left" vertical="center"/>
    </xf>
    <xf numFmtId="3" fontId="3" fillId="0" borderId="0" xfId="226" applyNumberFormat="1" applyAlignment="1">
      <alignment horizontal="center" vertical="center"/>
    </xf>
    <xf numFmtId="3" fontId="71" fillId="30" borderId="0" xfId="226" applyNumberFormat="1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76" fillId="33" borderId="81" xfId="210" applyFont="1" applyFill="1" applyBorder="1" applyAlignment="1">
      <alignment horizontal="left"/>
    </xf>
    <xf numFmtId="0" fontId="76" fillId="33" borderId="82" xfId="210" applyFont="1" applyFill="1" applyBorder="1" applyAlignment="1">
      <alignment horizontal="left"/>
    </xf>
    <xf numFmtId="0" fontId="76" fillId="33" borderId="83" xfId="210" applyFont="1" applyFill="1" applyBorder="1" applyAlignment="1">
      <alignment horizontal="left"/>
    </xf>
    <xf numFmtId="0" fontId="69" fillId="35" borderId="81" xfId="226" applyFont="1" applyFill="1" applyBorder="1" applyAlignment="1">
      <alignment horizontal="center"/>
    </xf>
    <xf numFmtId="0" fontId="69" fillId="35" borderId="83" xfId="226" applyFont="1" applyFill="1" applyBorder="1" applyAlignment="1">
      <alignment horizontal="center"/>
    </xf>
    <xf numFmtId="9" fontId="10" fillId="0" borderId="11" xfId="57" applyFont="1" applyBorder="1" applyAlignment="1">
      <alignment horizontal="left"/>
    </xf>
    <xf numFmtId="9" fontId="0" fillId="0" borderId="26" xfId="57" applyFont="1" applyBorder="1" applyAlignment="1">
      <alignment horizontal="left"/>
    </xf>
    <xf numFmtId="0" fontId="88" fillId="0" borderId="0" xfId="210" applyFont="1" applyAlignment="1">
      <alignment horizontal="center" vertical="center"/>
    </xf>
    <xf numFmtId="0" fontId="86" fillId="0" borderId="0" xfId="210" applyFont="1" applyAlignment="1">
      <alignment horizontal="center" vertical="center"/>
    </xf>
    <xf numFmtId="0" fontId="88" fillId="0" borderId="0" xfId="210" applyFont="1" applyAlignment="1">
      <alignment horizontal="center"/>
    </xf>
    <xf numFmtId="0" fontId="11" fillId="24" borderId="0" xfId="226" applyFont="1" applyFill="1" applyAlignment="1">
      <alignment horizontal="center"/>
    </xf>
    <xf numFmtId="0" fontId="12" fillId="27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24" borderId="0" xfId="217" applyFont="1" applyFill="1" applyAlignment="1">
      <alignment horizontal="center"/>
    </xf>
    <xf numFmtId="167" fontId="70" fillId="36" borderId="0" xfId="213" applyNumberFormat="1" applyFont="1" applyFill="1" applyBorder="1" applyAlignment="1">
      <alignment horizontal="right" vertical="center"/>
    </xf>
    <xf numFmtId="3" fontId="70" fillId="36" borderId="0" xfId="212" applyNumberFormat="1" applyFont="1" applyFill="1" applyAlignment="1">
      <alignment horizontal="right" vertical="center"/>
    </xf>
    <xf numFmtId="0" fontId="67" fillId="35" borderId="0" xfId="212" applyFont="1" applyFill="1" applyAlignment="1">
      <alignment horizontal="center"/>
    </xf>
    <xf numFmtId="15" fontId="83" fillId="0" borderId="0" xfId="229" applyNumberFormat="1" applyFont="1" applyAlignment="1">
      <alignment horizontal="left"/>
    </xf>
    <xf numFmtId="15" fontId="83" fillId="0" borderId="137" xfId="229" applyNumberFormat="1" applyFont="1" applyBorder="1" applyAlignment="1">
      <alignment horizontal="left"/>
    </xf>
    <xf numFmtId="15" fontId="83" fillId="0" borderId="139" xfId="229" applyNumberFormat="1" applyFont="1" applyBorder="1" applyAlignment="1">
      <alignment horizontal="left"/>
    </xf>
    <xf numFmtId="15" fontId="83" fillId="0" borderId="140" xfId="229" applyNumberFormat="1" applyFont="1" applyBorder="1" applyAlignment="1">
      <alignment horizontal="left"/>
    </xf>
    <xf numFmtId="0" fontId="12" fillId="24" borderId="81" xfId="221" applyFont="1" applyFill="1" applyBorder="1" applyAlignment="1">
      <alignment horizontal="center" vertical="center"/>
    </xf>
    <xf numFmtId="0" fontId="12" fillId="24" borderId="82" xfId="221" applyFont="1" applyFill="1" applyBorder="1" applyAlignment="1">
      <alignment horizontal="center" vertical="center"/>
    </xf>
    <xf numFmtId="0" fontId="12" fillId="24" borderId="83" xfId="221" applyFont="1" applyFill="1" applyBorder="1" applyAlignment="1">
      <alignment horizontal="center" vertical="center"/>
    </xf>
    <xf numFmtId="4" fontId="50" fillId="26" borderId="34" xfId="0" applyNumberFormat="1" applyFont="1" applyFill="1" applyBorder="1" applyAlignment="1">
      <alignment horizontal="center" vertical="center" wrapText="1"/>
    </xf>
    <xf numFmtId="4" fontId="50" fillId="26" borderId="35" xfId="0" applyNumberFormat="1" applyFont="1" applyFill="1" applyBorder="1" applyAlignment="1">
      <alignment horizontal="center" vertical="center" wrapText="1"/>
    </xf>
  </cellXfs>
  <cellStyles count="236">
    <cellStyle name="20% - Énfasis1" xfId="1" builtinId="30" customBuiltin="1"/>
    <cellStyle name="20% - Énfasis1 2" xfId="74" xr:uid="{00000000-0005-0000-0000-000001000000}"/>
    <cellStyle name="20% - Énfasis1 3" xfId="75" xr:uid="{00000000-0005-0000-0000-000002000000}"/>
    <cellStyle name="20% - Énfasis1 4" xfId="76" xr:uid="{00000000-0005-0000-0000-000003000000}"/>
    <cellStyle name="20% - Énfasis2" xfId="2" builtinId="34" customBuiltin="1"/>
    <cellStyle name="20% - Énfasis2 2" xfId="77" xr:uid="{00000000-0005-0000-0000-000005000000}"/>
    <cellStyle name="20% - Énfasis2 3" xfId="78" xr:uid="{00000000-0005-0000-0000-000006000000}"/>
    <cellStyle name="20% - Énfasis2 4" xfId="79" xr:uid="{00000000-0005-0000-0000-000007000000}"/>
    <cellStyle name="20% - Énfasis3" xfId="3" builtinId="38" customBuiltin="1"/>
    <cellStyle name="20% - Énfasis3 2" xfId="80" xr:uid="{00000000-0005-0000-0000-000009000000}"/>
    <cellStyle name="20% - Énfasis3 3" xfId="81" xr:uid="{00000000-0005-0000-0000-00000A000000}"/>
    <cellStyle name="20% - Énfasis3 4" xfId="82" xr:uid="{00000000-0005-0000-0000-00000B000000}"/>
    <cellStyle name="20% - Énfasis4" xfId="4" builtinId="42" customBuiltin="1"/>
    <cellStyle name="20% - Énfasis4 2" xfId="83" xr:uid="{00000000-0005-0000-0000-00000D000000}"/>
    <cellStyle name="20% - Énfasis4 3" xfId="84" xr:uid="{00000000-0005-0000-0000-00000E000000}"/>
    <cellStyle name="20% - Énfasis4 4" xfId="85" xr:uid="{00000000-0005-0000-0000-00000F000000}"/>
    <cellStyle name="20% - Énfasis5" xfId="5" builtinId="46" customBuiltin="1"/>
    <cellStyle name="20% - Énfasis5 2" xfId="86" xr:uid="{00000000-0005-0000-0000-000011000000}"/>
    <cellStyle name="20% - Énfasis5 3" xfId="87" xr:uid="{00000000-0005-0000-0000-000012000000}"/>
    <cellStyle name="20% - Énfasis5 4" xfId="88" xr:uid="{00000000-0005-0000-0000-000013000000}"/>
    <cellStyle name="20% - Énfasis6" xfId="6" builtinId="50" customBuiltin="1"/>
    <cellStyle name="20% - Énfasis6 2" xfId="89" xr:uid="{00000000-0005-0000-0000-000015000000}"/>
    <cellStyle name="20% - Énfasis6 3" xfId="90" xr:uid="{00000000-0005-0000-0000-000016000000}"/>
    <cellStyle name="20% - Énfasis6 4" xfId="91" xr:uid="{00000000-0005-0000-0000-000017000000}"/>
    <cellStyle name="40% - Énfasis1" xfId="7" builtinId="31" customBuiltin="1"/>
    <cellStyle name="40% - Énfasis1 2" xfId="92" xr:uid="{00000000-0005-0000-0000-000019000000}"/>
    <cellStyle name="40% - Énfasis1 3" xfId="93" xr:uid="{00000000-0005-0000-0000-00001A000000}"/>
    <cellStyle name="40% - Énfasis1 4" xfId="94" xr:uid="{00000000-0005-0000-0000-00001B000000}"/>
    <cellStyle name="40% - Énfasis2" xfId="8" builtinId="35" customBuiltin="1"/>
    <cellStyle name="40% - Énfasis2 2" xfId="95" xr:uid="{00000000-0005-0000-0000-00001D000000}"/>
    <cellStyle name="40% - Énfasis2 3" xfId="96" xr:uid="{00000000-0005-0000-0000-00001E000000}"/>
    <cellStyle name="40% - Énfasis2 4" xfId="97" xr:uid="{00000000-0005-0000-0000-00001F000000}"/>
    <cellStyle name="40% - Énfasis3" xfId="9" builtinId="39" customBuiltin="1"/>
    <cellStyle name="40% - Énfasis3 2" xfId="98" xr:uid="{00000000-0005-0000-0000-000021000000}"/>
    <cellStyle name="40% - Énfasis3 3" xfId="99" xr:uid="{00000000-0005-0000-0000-000022000000}"/>
    <cellStyle name="40% - Énfasis3 4" xfId="100" xr:uid="{00000000-0005-0000-0000-000023000000}"/>
    <cellStyle name="40% - Énfasis4" xfId="10" builtinId="43" customBuiltin="1"/>
    <cellStyle name="40% - Énfasis4 2" xfId="101" xr:uid="{00000000-0005-0000-0000-000025000000}"/>
    <cellStyle name="40% - Énfasis4 3" xfId="102" xr:uid="{00000000-0005-0000-0000-000026000000}"/>
    <cellStyle name="40% - Énfasis4 4" xfId="103" xr:uid="{00000000-0005-0000-0000-000027000000}"/>
    <cellStyle name="40% - Énfasis5" xfId="11" builtinId="47" customBuiltin="1"/>
    <cellStyle name="40% - Énfasis5 2" xfId="104" xr:uid="{00000000-0005-0000-0000-000029000000}"/>
    <cellStyle name="40% - Énfasis5 3" xfId="105" xr:uid="{00000000-0005-0000-0000-00002A000000}"/>
    <cellStyle name="40% - Énfasis5 4" xfId="106" xr:uid="{00000000-0005-0000-0000-00002B000000}"/>
    <cellStyle name="40% - Énfasis6" xfId="12" builtinId="51" customBuiltin="1"/>
    <cellStyle name="40% - Énfasis6 2" xfId="107" xr:uid="{00000000-0005-0000-0000-00002D000000}"/>
    <cellStyle name="40% - Énfasis6 3" xfId="108" xr:uid="{00000000-0005-0000-0000-00002E000000}"/>
    <cellStyle name="40% - Énfasis6 4" xfId="109" xr:uid="{00000000-0005-0000-0000-00002F000000}"/>
    <cellStyle name="60% - Énfasis1" xfId="13" builtinId="32" customBuiltin="1"/>
    <cellStyle name="60% - Énfasis1 2" xfId="110" xr:uid="{00000000-0005-0000-0000-000031000000}"/>
    <cellStyle name="60% - Énfasis1 3" xfId="111" xr:uid="{00000000-0005-0000-0000-000032000000}"/>
    <cellStyle name="60% - Énfasis1 4" xfId="112" xr:uid="{00000000-0005-0000-0000-000033000000}"/>
    <cellStyle name="60% - Énfasis2" xfId="14" builtinId="36" customBuiltin="1"/>
    <cellStyle name="60% - Énfasis2 2" xfId="113" xr:uid="{00000000-0005-0000-0000-000035000000}"/>
    <cellStyle name="60% - Énfasis2 3" xfId="114" xr:uid="{00000000-0005-0000-0000-000036000000}"/>
    <cellStyle name="60% - Énfasis2 4" xfId="115" xr:uid="{00000000-0005-0000-0000-000037000000}"/>
    <cellStyle name="60% - Énfasis3" xfId="15" builtinId="40" customBuiltin="1"/>
    <cellStyle name="60% - Énfasis3 2" xfId="116" xr:uid="{00000000-0005-0000-0000-000039000000}"/>
    <cellStyle name="60% - Énfasis3 3" xfId="117" xr:uid="{00000000-0005-0000-0000-00003A000000}"/>
    <cellStyle name="60% - Énfasis3 4" xfId="118" xr:uid="{00000000-0005-0000-0000-00003B000000}"/>
    <cellStyle name="60% - Énfasis4" xfId="16" builtinId="44" customBuiltin="1"/>
    <cellStyle name="60% - Énfasis4 2" xfId="119" xr:uid="{00000000-0005-0000-0000-00003D000000}"/>
    <cellStyle name="60% - Énfasis4 3" xfId="120" xr:uid="{00000000-0005-0000-0000-00003E000000}"/>
    <cellStyle name="60% - Énfasis4 4" xfId="121" xr:uid="{00000000-0005-0000-0000-00003F000000}"/>
    <cellStyle name="60% - Énfasis5" xfId="17" builtinId="48" customBuiltin="1"/>
    <cellStyle name="60% - Énfasis5 2" xfId="122" xr:uid="{00000000-0005-0000-0000-000041000000}"/>
    <cellStyle name="60% - Énfasis5 3" xfId="123" xr:uid="{00000000-0005-0000-0000-000042000000}"/>
    <cellStyle name="60% - Énfasis5 4" xfId="124" xr:uid="{00000000-0005-0000-0000-000043000000}"/>
    <cellStyle name="60% - Énfasis6" xfId="18" builtinId="52" customBuiltin="1"/>
    <cellStyle name="60% - Énfasis6 2" xfId="125" xr:uid="{00000000-0005-0000-0000-000045000000}"/>
    <cellStyle name="60% - Énfasis6 3" xfId="126" xr:uid="{00000000-0005-0000-0000-000046000000}"/>
    <cellStyle name="60% - Énfasis6 4" xfId="127" xr:uid="{00000000-0005-0000-0000-000047000000}"/>
    <cellStyle name="Buena 2" xfId="128" xr:uid="{00000000-0005-0000-0000-000048000000}"/>
    <cellStyle name="Buena 3" xfId="129" xr:uid="{00000000-0005-0000-0000-000049000000}"/>
    <cellStyle name="Buena 4" xfId="130" xr:uid="{00000000-0005-0000-0000-00004A000000}"/>
    <cellStyle name="Bueno" xfId="19" builtinId="26" customBuiltin="1"/>
    <cellStyle name="Cálculo" xfId="20" builtinId="22" customBuiltin="1"/>
    <cellStyle name="Cálculo 2" xfId="131" xr:uid="{00000000-0005-0000-0000-00004D000000}"/>
    <cellStyle name="Cálculo 3" xfId="132" xr:uid="{00000000-0005-0000-0000-00004E000000}"/>
    <cellStyle name="Cálculo 4" xfId="133" xr:uid="{00000000-0005-0000-0000-00004F000000}"/>
    <cellStyle name="Celda de comprobación" xfId="21" builtinId="23" customBuiltin="1"/>
    <cellStyle name="Celda de comprobación 2" xfId="134" xr:uid="{00000000-0005-0000-0000-000051000000}"/>
    <cellStyle name="Celda de comprobación 3" xfId="135" xr:uid="{00000000-0005-0000-0000-000052000000}"/>
    <cellStyle name="Celda de comprobación 4" xfId="136" xr:uid="{00000000-0005-0000-0000-000053000000}"/>
    <cellStyle name="Celda vinculada" xfId="22" builtinId="24" customBuiltin="1"/>
    <cellStyle name="Celda vinculada 2" xfId="137" xr:uid="{00000000-0005-0000-0000-000055000000}"/>
    <cellStyle name="Celda vinculada 3" xfId="138" xr:uid="{00000000-0005-0000-0000-000056000000}"/>
    <cellStyle name="Celda vinculada 4" xfId="139" xr:uid="{00000000-0005-0000-0000-000057000000}"/>
    <cellStyle name="Encabezado 1" xfId="64" builtinId="16" customBuiltin="1"/>
    <cellStyle name="Encabezado 4" xfId="23" builtinId="19" customBuiltin="1"/>
    <cellStyle name="Encabezado 4 2" xfId="140" xr:uid="{00000000-0005-0000-0000-00005A000000}"/>
    <cellStyle name="Encabezado 4 3" xfId="141" xr:uid="{00000000-0005-0000-0000-00005B000000}"/>
    <cellStyle name="Encabezado 4 4" xfId="142" xr:uid="{00000000-0005-0000-0000-00005C000000}"/>
    <cellStyle name="Énfasis1" xfId="24" builtinId="29" customBuiltin="1"/>
    <cellStyle name="Énfasis1 2" xfId="143" xr:uid="{00000000-0005-0000-0000-00005E000000}"/>
    <cellStyle name="Énfasis1 3" xfId="144" xr:uid="{00000000-0005-0000-0000-00005F000000}"/>
    <cellStyle name="Énfasis1 4" xfId="145" xr:uid="{00000000-0005-0000-0000-000060000000}"/>
    <cellStyle name="Énfasis2" xfId="25" builtinId="33" customBuiltin="1"/>
    <cellStyle name="Énfasis2 2" xfId="146" xr:uid="{00000000-0005-0000-0000-000062000000}"/>
    <cellStyle name="Énfasis2 3" xfId="147" xr:uid="{00000000-0005-0000-0000-000063000000}"/>
    <cellStyle name="Énfasis2 4" xfId="148" xr:uid="{00000000-0005-0000-0000-000064000000}"/>
    <cellStyle name="Énfasis3" xfId="26" builtinId="37" customBuiltin="1"/>
    <cellStyle name="Énfasis3 2" xfId="149" xr:uid="{00000000-0005-0000-0000-000066000000}"/>
    <cellStyle name="Énfasis3 3" xfId="150" xr:uid="{00000000-0005-0000-0000-000067000000}"/>
    <cellStyle name="Énfasis3 4" xfId="151" xr:uid="{00000000-0005-0000-0000-000068000000}"/>
    <cellStyle name="Énfasis4" xfId="27" builtinId="41" customBuiltin="1"/>
    <cellStyle name="Énfasis4 2" xfId="152" xr:uid="{00000000-0005-0000-0000-00006A000000}"/>
    <cellStyle name="Énfasis4 3" xfId="153" xr:uid="{00000000-0005-0000-0000-00006B000000}"/>
    <cellStyle name="Énfasis4 4" xfId="154" xr:uid="{00000000-0005-0000-0000-00006C000000}"/>
    <cellStyle name="Énfasis5" xfId="28" builtinId="45" customBuiltin="1"/>
    <cellStyle name="Énfasis5 2" xfId="155" xr:uid="{00000000-0005-0000-0000-00006E000000}"/>
    <cellStyle name="Énfasis5 3" xfId="156" xr:uid="{00000000-0005-0000-0000-00006F000000}"/>
    <cellStyle name="Énfasis5 4" xfId="157" xr:uid="{00000000-0005-0000-0000-000070000000}"/>
    <cellStyle name="Énfasis6" xfId="29" builtinId="49" customBuiltin="1"/>
    <cellStyle name="Énfasis6 2" xfId="158" xr:uid="{00000000-0005-0000-0000-000072000000}"/>
    <cellStyle name="Énfasis6 3" xfId="159" xr:uid="{00000000-0005-0000-0000-000073000000}"/>
    <cellStyle name="Énfasis6 4" xfId="160" xr:uid="{00000000-0005-0000-0000-000074000000}"/>
    <cellStyle name="Entrada" xfId="30" builtinId="20" customBuiltin="1"/>
    <cellStyle name="Entrada 2" xfId="161" xr:uid="{00000000-0005-0000-0000-000076000000}"/>
    <cellStyle name="Entrada 3" xfId="162" xr:uid="{00000000-0005-0000-0000-000077000000}"/>
    <cellStyle name="Entrada 4" xfId="163" xr:uid="{00000000-0005-0000-0000-000078000000}"/>
    <cellStyle name="Euro" xfId="31" xr:uid="{00000000-0005-0000-0000-000079000000}"/>
    <cellStyle name="Euro 2" xfId="222" xr:uid="{00000000-0005-0000-0000-00007A000000}"/>
    <cellStyle name="F2" xfId="32" xr:uid="{00000000-0005-0000-0000-00007B000000}"/>
    <cellStyle name="F3" xfId="33" xr:uid="{00000000-0005-0000-0000-00007C000000}"/>
    <cellStyle name="F4" xfId="34" xr:uid="{00000000-0005-0000-0000-00007D000000}"/>
    <cellStyle name="F5" xfId="35" xr:uid="{00000000-0005-0000-0000-00007E000000}"/>
    <cellStyle name="F6" xfId="36" xr:uid="{00000000-0005-0000-0000-00007F000000}"/>
    <cellStyle name="F7" xfId="37" xr:uid="{00000000-0005-0000-0000-000080000000}"/>
    <cellStyle name="F8" xfId="38" xr:uid="{00000000-0005-0000-0000-000081000000}"/>
    <cellStyle name="Incorrecto" xfId="39" builtinId="27" customBuiltin="1"/>
    <cellStyle name="Incorrecto 2" xfId="164" xr:uid="{00000000-0005-0000-0000-000083000000}"/>
    <cellStyle name="Incorrecto 3" xfId="165" xr:uid="{00000000-0005-0000-0000-000084000000}"/>
    <cellStyle name="Incorrecto 4" xfId="166" xr:uid="{00000000-0005-0000-0000-000085000000}"/>
    <cellStyle name="Millares" xfId="40" builtinId="3"/>
    <cellStyle name="Millares [0]" xfId="41" builtinId="6"/>
    <cellStyle name="Millares 10" xfId="234" xr:uid="{00000000-0005-0000-0000-000088000000}"/>
    <cellStyle name="Millares 2" xfId="42" xr:uid="{00000000-0005-0000-0000-000089000000}"/>
    <cellStyle name="Millares 2 2" xfId="69" xr:uid="{00000000-0005-0000-0000-00008A000000}"/>
    <cellStyle name="Millares 2 3" xfId="167" xr:uid="{00000000-0005-0000-0000-00008B000000}"/>
    <cellStyle name="Millares 2 4" xfId="168" xr:uid="{00000000-0005-0000-0000-00008C000000}"/>
    <cellStyle name="Millares 3" xfId="43" xr:uid="{00000000-0005-0000-0000-00008D000000}"/>
    <cellStyle name="Millares 3 2" xfId="216" xr:uid="{00000000-0005-0000-0000-00008E000000}"/>
    <cellStyle name="Millares 3 3" xfId="219" xr:uid="{00000000-0005-0000-0000-00008F000000}"/>
    <cellStyle name="Millares 4" xfId="169" xr:uid="{00000000-0005-0000-0000-000090000000}"/>
    <cellStyle name="Millares 5" xfId="211" xr:uid="{00000000-0005-0000-0000-000091000000}"/>
    <cellStyle name="Millares 6" xfId="214" xr:uid="{00000000-0005-0000-0000-000092000000}"/>
    <cellStyle name="Millares 7" xfId="223" xr:uid="{00000000-0005-0000-0000-000093000000}"/>
    <cellStyle name="Millares 8" xfId="228" xr:uid="{00000000-0005-0000-0000-000094000000}"/>
    <cellStyle name="Millares 9" xfId="231" xr:uid="{00000000-0005-0000-0000-000095000000}"/>
    <cellStyle name="Millares_Cargos por Conexión - versión Final" xfId="44" xr:uid="{00000000-0005-0000-0000-000096000000}"/>
    <cellStyle name="Millares_Modulo 6" xfId="45" xr:uid="{00000000-0005-0000-0000-000097000000}"/>
    <cellStyle name="Millares_RESUMEN" xfId="46" xr:uid="{00000000-0005-0000-0000-000098000000}"/>
    <cellStyle name="Moneda" xfId="232" builtinId="4"/>
    <cellStyle name="Neutral" xfId="47" builtinId="28" customBuiltin="1"/>
    <cellStyle name="Neutral 2" xfId="170" xr:uid="{00000000-0005-0000-0000-00009B000000}"/>
    <cellStyle name="Neutral 3" xfId="171" xr:uid="{00000000-0005-0000-0000-00009C000000}"/>
    <cellStyle name="Neutral 4" xfId="172" xr:uid="{00000000-0005-0000-0000-00009D000000}"/>
    <cellStyle name="Normal" xfId="0" builtinId="0"/>
    <cellStyle name="Normal 10" xfId="217" xr:uid="{00000000-0005-0000-0000-00009F000000}"/>
    <cellStyle name="Normal 11" xfId="221" xr:uid="{00000000-0005-0000-0000-0000A0000000}"/>
    <cellStyle name="Normal 12" xfId="226" xr:uid="{00000000-0005-0000-0000-0000A1000000}"/>
    <cellStyle name="Normal 13" xfId="230" xr:uid="{00000000-0005-0000-0000-0000A2000000}"/>
    <cellStyle name="Normal 14" xfId="233" xr:uid="{00000000-0005-0000-0000-0000A3000000}"/>
    <cellStyle name="Normal 15" xfId="235" xr:uid="{00000000-0005-0000-0000-0000A4000000}"/>
    <cellStyle name="Normal 2" xfId="48" xr:uid="{00000000-0005-0000-0000-0000A5000000}"/>
    <cellStyle name="Normal 2 2" xfId="70" xr:uid="{00000000-0005-0000-0000-0000A6000000}"/>
    <cellStyle name="Normal 2 3" xfId="173" xr:uid="{00000000-0005-0000-0000-0000A7000000}"/>
    <cellStyle name="Normal 2 3 2" xfId="174" xr:uid="{00000000-0005-0000-0000-0000A8000000}"/>
    <cellStyle name="Normal 2 4" xfId="175" xr:uid="{00000000-0005-0000-0000-0000A9000000}"/>
    <cellStyle name="Normal 3" xfId="49" xr:uid="{00000000-0005-0000-0000-0000AA000000}"/>
    <cellStyle name="Normal 3 2" xfId="71" xr:uid="{00000000-0005-0000-0000-0000AB000000}"/>
    <cellStyle name="Normal 3 2 2" xfId="210" xr:uid="{00000000-0005-0000-0000-0000AC000000}"/>
    <cellStyle name="Normal 3 3" xfId="176" xr:uid="{00000000-0005-0000-0000-0000AD000000}"/>
    <cellStyle name="Normal 4" xfId="72" xr:uid="{00000000-0005-0000-0000-0000AE000000}"/>
    <cellStyle name="Normal 5" xfId="73" xr:uid="{00000000-0005-0000-0000-0000AF000000}"/>
    <cellStyle name="Normal 5 2" xfId="177" xr:uid="{00000000-0005-0000-0000-0000B0000000}"/>
    <cellStyle name="Normal 5 3" xfId="178" xr:uid="{00000000-0005-0000-0000-0000B1000000}"/>
    <cellStyle name="Normal 6" xfId="179" xr:uid="{00000000-0005-0000-0000-0000B2000000}"/>
    <cellStyle name="Normal 7" xfId="208" xr:uid="{00000000-0005-0000-0000-0000B3000000}"/>
    <cellStyle name="Normal 8" xfId="212" xr:uid="{00000000-0005-0000-0000-0000B4000000}"/>
    <cellStyle name="Normal 9" xfId="215" xr:uid="{00000000-0005-0000-0000-0000B5000000}"/>
    <cellStyle name="Normal 9 2" xfId="229" xr:uid="{00000000-0005-0000-0000-0000B6000000}"/>
    <cellStyle name="Normal_Cuentas de Balance - 19 Feb 04" xfId="50" xr:uid="{00000000-0005-0000-0000-0000B7000000}"/>
    <cellStyle name="Normal_PANAM2" xfId="224" xr:uid="{00000000-0005-0000-0000-0000B8000000}"/>
    <cellStyle name="Notas" xfId="51" builtinId="10" customBuiltin="1"/>
    <cellStyle name="Notas 2" xfId="180" xr:uid="{00000000-0005-0000-0000-0000BA000000}"/>
    <cellStyle name="Notas 3" xfId="181" xr:uid="{00000000-0005-0000-0000-0000BB000000}"/>
    <cellStyle name="Notas 4" xfId="182" xr:uid="{00000000-0005-0000-0000-0000BC000000}"/>
    <cellStyle name="Output Amounts" xfId="52" xr:uid="{00000000-0005-0000-0000-0000BD000000}"/>
    <cellStyle name="Output Column Headings" xfId="53" xr:uid="{00000000-0005-0000-0000-0000BE000000}"/>
    <cellStyle name="Output Line Items" xfId="54" xr:uid="{00000000-0005-0000-0000-0000BF000000}"/>
    <cellStyle name="Output Report Heading" xfId="55" xr:uid="{00000000-0005-0000-0000-0000C0000000}"/>
    <cellStyle name="Output Report Title" xfId="56" xr:uid="{00000000-0005-0000-0000-0000C1000000}"/>
    <cellStyle name="Porcentaje" xfId="57" builtinId="5"/>
    <cellStyle name="Porcentaje 2" xfId="68" xr:uid="{00000000-0005-0000-0000-0000C3000000}"/>
    <cellStyle name="Porcentaje 2 2" xfId="218" xr:uid="{00000000-0005-0000-0000-0000C4000000}"/>
    <cellStyle name="Porcentaje 3" xfId="209" xr:uid="{00000000-0005-0000-0000-0000C5000000}"/>
    <cellStyle name="Porcentaje 4" xfId="213" xr:uid="{00000000-0005-0000-0000-0000C6000000}"/>
    <cellStyle name="Porcentaje 5" xfId="220" xr:uid="{00000000-0005-0000-0000-0000C7000000}"/>
    <cellStyle name="Porcentaje 6" xfId="225" xr:uid="{00000000-0005-0000-0000-0000C8000000}"/>
    <cellStyle name="Porcentaje 7" xfId="227" xr:uid="{00000000-0005-0000-0000-0000C9000000}"/>
    <cellStyle name="Porcentual 2" xfId="58" xr:uid="{00000000-0005-0000-0000-0000CA000000}"/>
    <cellStyle name="Porcentual 3" xfId="59" xr:uid="{00000000-0005-0000-0000-0000CB000000}"/>
    <cellStyle name="Porcentual 4" xfId="183" xr:uid="{00000000-0005-0000-0000-0000CC000000}"/>
    <cellStyle name="Salida" xfId="60" builtinId="21" customBuiltin="1"/>
    <cellStyle name="Salida 2" xfId="184" xr:uid="{00000000-0005-0000-0000-0000CE000000}"/>
    <cellStyle name="Salida 3" xfId="185" xr:uid="{00000000-0005-0000-0000-0000CF000000}"/>
    <cellStyle name="Salida 4" xfId="186" xr:uid="{00000000-0005-0000-0000-0000D0000000}"/>
    <cellStyle name="Texto de advertencia" xfId="61" builtinId="11" customBuiltin="1"/>
    <cellStyle name="Texto de advertencia 2" xfId="187" xr:uid="{00000000-0005-0000-0000-0000D2000000}"/>
    <cellStyle name="Texto de advertencia 3" xfId="188" xr:uid="{00000000-0005-0000-0000-0000D3000000}"/>
    <cellStyle name="Texto de advertencia 4" xfId="189" xr:uid="{00000000-0005-0000-0000-0000D4000000}"/>
    <cellStyle name="Texto explicativo" xfId="62" builtinId="53" customBuiltin="1"/>
    <cellStyle name="Texto explicativo 2" xfId="190" xr:uid="{00000000-0005-0000-0000-0000D6000000}"/>
    <cellStyle name="Texto explicativo 3" xfId="191" xr:uid="{00000000-0005-0000-0000-0000D7000000}"/>
    <cellStyle name="Texto explicativo 4" xfId="192" xr:uid="{00000000-0005-0000-0000-0000D8000000}"/>
    <cellStyle name="Título" xfId="63" builtinId="15" customBuiltin="1"/>
    <cellStyle name="Título 1 2" xfId="193" xr:uid="{00000000-0005-0000-0000-0000DA000000}"/>
    <cellStyle name="Título 1 3" xfId="194" xr:uid="{00000000-0005-0000-0000-0000DB000000}"/>
    <cellStyle name="Título 1 4" xfId="195" xr:uid="{00000000-0005-0000-0000-0000DC000000}"/>
    <cellStyle name="Título 2" xfId="65" builtinId="17" customBuiltin="1"/>
    <cellStyle name="Título 2 2" xfId="196" xr:uid="{00000000-0005-0000-0000-0000DE000000}"/>
    <cellStyle name="Título 2 3" xfId="197" xr:uid="{00000000-0005-0000-0000-0000DF000000}"/>
    <cellStyle name="Título 2 4" xfId="198" xr:uid="{00000000-0005-0000-0000-0000E0000000}"/>
    <cellStyle name="Título 3" xfId="66" builtinId="18" customBuiltin="1"/>
    <cellStyle name="Título 3 2" xfId="199" xr:uid="{00000000-0005-0000-0000-0000E2000000}"/>
    <cellStyle name="Título 3 3" xfId="200" xr:uid="{00000000-0005-0000-0000-0000E3000000}"/>
    <cellStyle name="Título 3 4" xfId="201" xr:uid="{00000000-0005-0000-0000-0000E4000000}"/>
    <cellStyle name="Título 4" xfId="202" xr:uid="{00000000-0005-0000-0000-0000E5000000}"/>
    <cellStyle name="Título 5" xfId="203" xr:uid="{00000000-0005-0000-0000-0000E6000000}"/>
    <cellStyle name="Título 6" xfId="204" xr:uid="{00000000-0005-0000-0000-0000E7000000}"/>
    <cellStyle name="Total" xfId="67" builtinId="25" customBuiltin="1"/>
    <cellStyle name="Total 2" xfId="205" xr:uid="{00000000-0005-0000-0000-0000E9000000}"/>
    <cellStyle name="Total 3" xfId="206" xr:uid="{00000000-0005-0000-0000-0000EA000000}"/>
    <cellStyle name="Total 4" xfId="207" xr:uid="{00000000-0005-0000-0000-0000EB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SpPr txBox="1">
          <a:spLocks noChangeArrowheads="1"/>
        </xdr:cNvSpPr>
      </xdr:nvSpPr>
      <xdr:spPr bwMode="auto">
        <a:xfrm>
          <a:off x="5381625" y="1076325"/>
          <a:ext cx="52101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00000000-0008-0000-0700-0000070C0000}"/>
            </a:ext>
          </a:extLst>
        </xdr:cNvPr>
        <xdr:cNvSpPr txBox="1">
          <a:spLocks noChangeArrowheads="1"/>
        </xdr:cNvSpPr>
      </xdr:nvSpPr>
      <xdr:spPr bwMode="auto">
        <a:xfrm>
          <a:off x="5400675" y="1790700"/>
          <a:ext cx="52101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3911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391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3911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391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39115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3911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  <xdr:twoCellAnchor>
    <xdr:from>
      <xdr:col>4</xdr:col>
      <xdr:colOff>123825</xdr:colOff>
      <xdr:row>3</xdr:row>
      <xdr:rowOff>9525</xdr:rowOff>
    </xdr:from>
    <xdr:to>
      <xdr:col>10</xdr:col>
      <xdr:colOff>952500</xdr:colOff>
      <xdr:row>3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5734050" y="1076325"/>
          <a:ext cx="5953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</a:t>
          </a:r>
        </a:p>
      </xdr:txBody>
    </xdr:sp>
    <xdr:clientData/>
  </xdr:twoCellAnchor>
  <xdr:twoCellAnchor>
    <xdr:from>
      <xdr:col>4</xdr:col>
      <xdr:colOff>142875</xdr:colOff>
      <xdr:row>5</xdr:row>
      <xdr:rowOff>38100</xdr:rowOff>
    </xdr:from>
    <xdr:to>
      <xdr:col>10</xdr:col>
      <xdr:colOff>971550</xdr:colOff>
      <xdr:row>5</xdr:row>
      <xdr:rowOff>209550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5753100" y="1790700"/>
          <a:ext cx="5953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CX cxj =( ADMCTcxj  + OMTCTcxj  + ACTCTef cxj * DEP% +ACTCTef cxj * RRT)*FA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hen.ETESA/Documents/Revision%20Periodo%20tarifario%202017-2021/resolucion%2012136/IMP%20ETESA%202017_2021%20Postconsulta%20resolucion%201213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hen.ETESA/Documents/Revision%20Periodo%20tarifario%202017-2021/Copia%20de%20cargo%20conexion%2017-21%20Nicolas%20v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ndezc/Desktop/disco%20interno/Nuevo%20Regimen%20Tarifario%202021-2025/consulta%20P&#250;blica/PARTE%20II/PLIEGO%20TARIFARIO%202021%20-%202025/Cargos%20CUSTP/1-modelo_calculo_etes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rez/Desktop/Escritorio%202017/Pliego%20de%20Cargos%202017%20%202021/IMP2017_2021_21dic2017-consulta_publica%20desbloque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jandro\Revicoes%20tarif&#225;rias\PA\M0755-03Panam&#225;Transmisi&#243;n2003\Informes\Fase%20IVIMP\Modelo%20Tarifas%20Transmisi&#243;n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rez/AppData/Local/Microsoft/Windows/Temporary%20Internet%20Files/Content.Outlook/VDYPYMZJ/Unlocked_imp_etesa2017_2021_21dic2017-consulta_public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Documents%20and%20Settings\mrivera\Mis%20documentos\TARIFAS%20DE%20TRANSMISION\R&#233;gimen%202005-2009\IMP\IMP%202005-09%20(FINAL%20post%20consulta%20p&#250;blica)+MR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Documents%20and%20Settings\Mrivera\Configuraci&#243;n%20local\Archivos%20temporales%20de%20Internet\OLK10\Cargos%20por%20Conexi&#243;n%20-%20versi&#243;n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perez/Configuraci&#243;n%20local/Archivos%20temporales%20de%20Internet/Content.Outlook/Y0K2GZNR/C%20X%20C%202009-2013%2019%20mayo%20ASEP%20Nota%20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Existente"/>
      <sheetName val="IMPA Indicativo"/>
      <sheetName val="Activos Reconocidos"/>
      <sheetName val="Tasa de Depreciación"/>
      <sheetName val="OMT%_ADMT%"/>
      <sheetName val="Base de Capital"/>
      <sheetName val="Plan de Expansión"/>
      <sheetName val="Tercera Línea"/>
      <sheetName val="VNR"/>
      <sheetName val="CND_HID"/>
      <sheetName val="GEN_OBL"/>
      <sheetName val="Anexo Activos_Depreciaciones"/>
      <sheetName val="Bienes e Instalaciones 31_12_16"/>
      <sheetName val="Conso Altas 2013_2016"/>
      <sheetName val="IMP RevTar_2013_2017"/>
      <sheetName val="Hoja1"/>
      <sheetName val="Hoja2"/>
      <sheetName val="Cuadro Informe"/>
    </sheetNames>
    <sheetDataSet>
      <sheetData sheetId="0"/>
      <sheetData sheetId="1">
        <row r="13">
          <cell r="D13">
            <v>7.7600000000000002E-2</v>
          </cell>
        </row>
      </sheetData>
      <sheetData sheetId="2">
        <row r="65">
          <cell r="E65">
            <v>0</v>
          </cell>
        </row>
      </sheetData>
      <sheetData sheetId="3"/>
      <sheetData sheetId="4">
        <row r="13">
          <cell r="G13">
            <v>9.300000000000001E-3</v>
          </cell>
        </row>
      </sheetData>
      <sheetData sheetId="5"/>
      <sheetData sheetId="6">
        <row r="10">
          <cell r="C10">
            <v>0</v>
          </cell>
          <cell r="D10">
            <v>0</v>
          </cell>
        </row>
      </sheetData>
      <sheetData sheetId="7"/>
      <sheetData sheetId="8">
        <row r="32">
          <cell r="F32">
            <v>347773847.60483652</v>
          </cell>
        </row>
        <row r="38">
          <cell r="F38">
            <v>36672308.815588608</v>
          </cell>
        </row>
        <row r="48">
          <cell r="G48">
            <v>67037095.958703928</v>
          </cell>
        </row>
        <row r="59">
          <cell r="Q59">
            <v>368338574.5715453</v>
          </cell>
        </row>
        <row r="69">
          <cell r="Q69">
            <v>6933848.1310749892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2017_2021"/>
      <sheetName val="Resumen 2013_2017"/>
      <sheetName val="IPCT VNR_FA"/>
      <sheetName val="VERIFICACIÓN DE INGRESOS"/>
      <sheetName val="SALIDAS Y TRANSFORMACION"/>
      <sheetName val="N de Instalaciones"/>
      <sheetName val=" VNR"/>
      <sheetName val="VNR consulta (015 17)"/>
      <sheetName val="Ingreso Conexion (1er sem)"/>
      <sheetName val="CX cxj Año1 "/>
      <sheetName val="CX cxj Año2"/>
      <sheetName val="CX cxj Año3"/>
      <sheetName val="CX cxj Año4"/>
      <sheetName val="Parámetros de eficiencia"/>
    </sheetNames>
    <sheetDataSet>
      <sheetData sheetId="0"/>
      <sheetData sheetId="1"/>
      <sheetData sheetId="2">
        <row r="2">
          <cell r="C2">
            <v>7.7600000000000002E-2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Existente"/>
      <sheetName val="IMPA Indicativo"/>
      <sheetName val="Sensibilidad"/>
      <sheetName val="Activos Reconocidos"/>
      <sheetName val="Tasa de Depreciación"/>
      <sheetName val="Base de Capital"/>
      <sheetName val="OMT%_ADMT%"/>
      <sheetName val="VNR Lin "/>
      <sheetName val=" VNR Sub"/>
      <sheetName val="Plan de Expansión"/>
      <sheetName val="Adiciones"/>
      <sheetName val="CND"/>
      <sheetName val="GEN_OBL"/>
      <sheetName val="Tercera Línea"/>
      <sheetName val="Bienes e Instalaciones 31_12_20"/>
      <sheetName val="tablas aux"/>
      <sheetName val="Base ETESA"/>
      <sheetName val="Cuadro Informe"/>
    </sheetNames>
    <sheetDataSet>
      <sheetData sheetId="0"/>
      <sheetData sheetId="1">
        <row r="13">
          <cell r="D13">
            <v>6.83E-2</v>
          </cell>
        </row>
      </sheetData>
      <sheetData sheetId="2"/>
      <sheetData sheetId="3"/>
      <sheetData sheetId="4"/>
      <sheetData sheetId="5"/>
      <sheetData sheetId="6"/>
      <sheetData sheetId="7">
        <row r="64">
          <cell r="I64">
            <v>535282199.57275289</v>
          </cell>
        </row>
        <row r="74">
          <cell r="I74">
            <v>6552391.9799189642</v>
          </cell>
        </row>
      </sheetData>
      <sheetData sheetId="8">
        <row r="24">
          <cell r="G24">
            <v>393243678.45037353</v>
          </cell>
        </row>
        <row r="33">
          <cell r="G33">
            <v>42460461.096931174</v>
          </cell>
        </row>
        <row r="45">
          <cell r="H45">
            <v>101412915.54112218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Existente"/>
      <sheetName val="IMPA Indicativo"/>
      <sheetName val="Activos Reconocidos"/>
      <sheetName val="Tasa de Depreciación"/>
      <sheetName val="Base de Capital"/>
      <sheetName val="Anexo Activos_Depreciaciones"/>
      <sheetName val="Plan de Expansión"/>
      <sheetName val="Tercera Línea"/>
      <sheetName val="VNR"/>
      <sheetName val="CND_HID"/>
      <sheetName val="GEN_OBL"/>
      <sheetName val="Bienes e Instalaciones 31_12_16"/>
      <sheetName val="Conso Altas 2013_2016"/>
      <sheetName val="IMP RevTar_2013_2017"/>
      <sheetName val="Cuadro Informe"/>
    </sheetNames>
    <sheetDataSet>
      <sheetData sheetId="0">
        <row r="133">
          <cell r="E133">
            <v>4072.7023847139099</v>
          </cell>
        </row>
      </sheetData>
      <sheetData sheetId="1">
        <row r="13">
          <cell r="D13">
            <v>7.7600000000000002E-2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  <sheetData sheetId="2">
        <row r="264">
          <cell r="C264">
            <v>702522925.19525671</v>
          </cell>
        </row>
      </sheetData>
      <sheetData sheetId="3"/>
      <sheetData sheetId="4"/>
      <sheetData sheetId="5"/>
      <sheetData sheetId="6">
        <row r="10">
          <cell r="C10">
            <v>25433</v>
          </cell>
          <cell r="D10">
            <v>14605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T"/>
      <sheetName val="IPSPT"/>
      <sheetName val="IPCT"/>
      <sheetName val="ACTIVOS"/>
      <sheetName val="VNR"/>
      <sheetName val="ADMT%-OMT%"/>
      <sheetName val="RRT"/>
      <sheetName val="CND"/>
      <sheetName val="Hidromet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4">
          <cell r="D14">
            <v>7.85E-2</v>
          </cell>
        </row>
      </sheetData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Existente"/>
      <sheetName val="IMPA Indicativo"/>
      <sheetName val="Activos Reconocidos"/>
      <sheetName val="Tasa de Depreciación"/>
      <sheetName val="Base de Capital"/>
      <sheetName val="Plan de Expansión"/>
      <sheetName val="Tercera Línea"/>
      <sheetName val="VNR"/>
      <sheetName val="CND_HID"/>
      <sheetName val="GEN_OBL"/>
      <sheetName val="Anexo Activos_Depreciaciones"/>
      <sheetName val="Bienes e Instalaciones 31_12_16"/>
      <sheetName val="Conso Altas 2013_2016"/>
      <sheetName val="IMP RevTar_2013_2017"/>
      <sheetName val="Cuadro Informe"/>
    </sheetNames>
    <sheetDataSet>
      <sheetData sheetId="0"/>
      <sheetData sheetId="1">
        <row r="26">
          <cell r="D26">
            <v>0</v>
          </cell>
        </row>
      </sheetData>
      <sheetData sheetId="2">
        <row r="62">
          <cell r="C62">
            <v>204259966.1240339</v>
          </cell>
        </row>
      </sheetData>
      <sheetData sheetId="3"/>
      <sheetData sheetId="4"/>
      <sheetData sheetId="5"/>
      <sheetData sheetId="6"/>
      <sheetData sheetId="7">
        <row r="30">
          <cell r="F30">
            <v>327250502.4926365</v>
          </cell>
        </row>
        <row r="36">
          <cell r="F36">
            <v>36672308.815588608</v>
          </cell>
        </row>
        <row r="46">
          <cell r="G46">
            <v>65601620.907903925</v>
          </cell>
        </row>
        <row r="62">
          <cell r="Q62">
            <v>375272422.70262027</v>
          </cell>
        </row>
      </sheetData>
      <sheetData sheetId="8">
        <row r="12">
          <cell r="D12">
            <v>2017</v>
          </cell>
        </row>
      </sheetData>
      <sheetData sheetId="9">
        <row r="7">
          <cell r="E7">
            <v>2017</v>
          </cell>
        </row>
      </sheetData>
      <sheetData sheetId="10"/>
      <sheetData sheetId="11"/>
      <sheetData sheetId="12"/>
      <sheetData sheetId="13">
        <row r="53">
          <cell r="D53">
            <v>205159.74981340076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iones no implementadas"/>
      <sheetName val="IPCTvnr"/>
      <sheetName val="IPCT"/>
      <sheetName val="FA"/>
      <sheetName val="VNR2004"/>
      <sheetName val="Parámetros de eficiencia"/>
      <sheetName val="CX cxj  &quot;q´se incorporan&quot;"/>
      <sheetName val="Cargos - Años tarifarios"/>
      <sheetName val="CX cxj &quot;consideradas&quot;"/>
      <sheetName val="Ingresos Año1"/>
      <sheetName val="Ingresos Año2"/>
      <sheetName val="Ingresos Año3"/>
      <sheetName val="Ingresos Año4"/>
      <sheetName val="Ingresos Año5"/>
      <sheetName val="Ingresos Periodo"/>
      <sheetName val="CxC x Ag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 xml:space="preserve"> Salidas de Conexión</v>
          </cell>
        </row>
        <row r="8">
          <cell r="B8" t="str">
            <v>Miles B/./Salida</v>
          </cell>
        </row>
        <row r="9">
          <cell r="B9" t="str">
            <v>Miles B/./Salida</v>
          </cell>
        </row>
        <row r="10">
          <cell r="B10" t="str">
            <v>Miles B/./Salida</v>
          </cell>
        </row>
        <row r="11">
          <cell r="B11" t="str">
            <v>Miles B/./Salida</v>
          </cell>
        </row>
        <row r="13">
          <cell r="B13" t="str">
            <v>Miles B/./Salida</v>
          </cell>
        </row>
        <row r="21">
          <cell r="B21" t="str">
            <v>Miles B/./km</v>
          </cell>
        </row>
        <row r="22">
          <cell r="B22" t="str">
            <v>Miles B/./km</v>
          </cell>
        </row>
        <row r="23">
          <cell r="B23" t="str">
            <v>Miles B/./km</v>
          </cell>
        </row>
        <row r="24">
          <cell r="B24" t="str">
            <v>Miles B/./km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X cxj  "/>
      <sheetName val="VERIFICACIÓN DE INGRESOS"/>
      <sheetName val="CX cxj  expansión condicionada"/>
      <sheetName val=" VNR2007"/>
      <sheetName val="SALIDAS Y TRANSFORMACION"/>
      <sheetName val="Parámetros de eficiencia"/>
      <sheetName val="N de Instalaciones"/>
      <sheetName val="IMP"/>
      <sheetName val="IPCT"/>
      <sheetName val="FA"/>
      <sheetName val="IPCT vnr"/>
      <sheetName val="S-E Charco Azul trafo"/>
      <sheetName val="S-E CHORRERA 230"/>
      <sheetName val="S-E CHORRERA trafo"/>
      <sheetName val="S-E CHORRERA 34"/>
      <sheetName val="S-E Charco azul 115"/>
      <sheetName val="S-E LL SANCHEZ 115"/>
      <sheetName val="S-E LL SANCHEZ trafo"/>
      <sheetName val="S-E PROGRESO 115"/>
      <sheetName val="S-E PROGRESO 34"/>
      <sheetName val="S-E MATA DE NANCE 34"/>
      <sheetName val="S-E LL SANCHEZ 34"/>
    </sheetNames>
    <sheetDataSet>
      <sheetData sheetId="0" refreshError="1"/>
      <sheetData sheetId="1" refreshError="1">
        <row r="12">
          <cell r="A12" t="str">
            <v>CXS34.5 Barra Sencilla</v>
          </cell>
          <cell r="B12" t="str">
            <v>Miles B/./Salida</v>
          </cell>
        </row>
        <row r="13">
          <cell r="A13" t="str">
            <v>CXS34.5 Interruptor y Medio</v>
          </cell>
          <cell r="B13" t="str">
            <v>Miles B/./Salida</v>
          </cell>
        </row>
        <row r="14">
          <cell r="A14" t="str">
            <v>CXS115 Barra Sencilla</v>
          </cell>
          <cell r="B14" t="str">
            <v>Miles B/./Salida</v>
          </cell>
        </row>
        <row r="15">
          <cell r="A15" t="str">
            <v>CXS115 Interruptor y Medio</v>
          </cell>
          <cell r="B15" t="str">
            <v>Miles B/./Salida</v>
          </cell>
        </row>
        <row r="16">
          <cell r="A16" t="str">
            <v>CXS115 Interruptor y 1/2 con 1IP</v>
          </cell>
          <cell r="B16" t="str">
            <v>Miles B/./Salida</v>
          </cell>
        </row>
        <row r="17">
          <cell r="A17" t="str">
            <v>CXS230 Barras Sencillas</v>
          </cell>
          <cell r="B17" t="str">
            <v>Miles B/./Salida</v>
          </cell>
        </row>
        <row r="18">
          <cell r="A18" t="str">
            <v>CXS230 Interruptor y Medio</v>
          </cell>
          <cell r="B18" t="str">
            <v>Miles B/./Salida</v>
          </cell>
        </row>
        <row r="19">
          <cell r="A19" t="str">
            <v>Transformadores</v>
          </cell>
        </row>
        <row r="21">
          <cell r="A21" t="str">
            <v>CXTR Reductor 60/80/100 MVA</v>
          </cell>
          <cell r="B21" t="str">
            <v>Miles B/./MVA</v>
          </cell>
        </row>
        <row r="22">
          <cell r="A22" t="str">
            <v>CXTR Reductor 42/56/70 MVA</v>
          </cell>
          <cell r="B22" t="str">
            <v>Miles B/./MVA</v>
          </cell>
        </row>
        <row r="23">
          <cell r="A23" t="str">
            <v>CXTR Reductor 30/40/50 MVA</v>
          </cell>
          <cell r="B23" t="str">
            <v>Miles B/./MVA</v>
          </cell>
        </row>
        <row r="24">
          <cell r="A24" t="str">
            <v>CXTR Reductor 20/24 MVA</v>
          </cell>
          <cell r="B24" t="str">
            <v>Miles B/./MVA</v>
          </cell>
        </row>
        <row r="25">
          <cell r="A25" t="str">
            <v>Líneas</v>
          </cell>
        </row>
        <row r="26">
          <cell r="A26" t="str">
            <v>CXL 115 KV Circuito Sencillo</v>
          </cell>
          <cell r="B26" t="str">
            <v>Miles B/./km</v>
          </cell>
        </row>
        <row r="27">
          <cell r="A27" t="str">
            <v>CXL 115 KV Doble Circuito</v>
          </cell>
          <cell r="B27" t="str">
            <v>Miles B/./km</v>
          </cell>
        </row>
        <row r="28">
          <cell r="A28" t="str">
            <v>CXL 230 KV Circuito Sencillo 750 ACAR</v>
          </cell>
          <cell r="B28" t="str">
            <v>Miles B/./km</v>
          </cell>
        </row>
        <row r="29">
          <cell r="A29" t="str">
            <v>CXL 230 KV Doble Circuito 1200 ACAR</v>
          </cell>
          <cell r="B29" t="str">
            <v>Miles B/./km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J55"/>
  <sheetViews>
    <sheetView showGridLines="0" zoomScale="55" zoomScaleNormal="55" workbookViewId="0">
      <selection activeCell="F54" sqref="F54"/>
    </sheetView>
  </sheetViews>
  <sheetFormatPr baseColWidth="10" defaultColWidth="11.42578125" defaultRowHeight="12.75" x14ac:dyDescent="0.2"/>
  <cols>
    <col min="1" max="1" width="5.85546875" customWidth="1"/>
    <col min="2" max="2" width="52" customWidth="1"/>
    <col min="3" max="3" width="17.5703125" customWidth="1"/>
    <col min="4" max="4" width="21.7109375" customWidth="1"/>
    <col min="5" max="5" width="17.28515625" customWidth="1"/>
    <col min="6" max="6" width="20.140625" customWidth="1"/>
    <col min="7" max="7" width="17.42578125" customWidth="1"/>
    <col min="8" max="8" width="20" customWidth="1"/>
    <col min="9" max="9" width="17" customWidth="1"/>
    <col min="10" max="10" width="19.28515625" customWidth="1"/>
    <col min="11" max="11" width="7" customWidth="1"/>
  </cols>
  <sheetData>
    <row r="1" spans="2:10" ht="18" x14ac:dyDescent="0.25">
      <c r="B1" s="1587" t="s">
        <v>140</v>
      </c>
      <c r="C1" s="1587"/>
      <c r="D1" s="1587"/>
      <c r="E1" s="1588"/>
      <c r="F1" s="1588"/>
      <c r="G1" s="1588"/>
      <c r="H1" s="1588"/>
      <c r="I1" s="1588"/>
      <c r="J1" s="1588"/>
    </row>
    <row r="2" spans="2:10" ht="18" x14ac:dyDescent="0.25">
      <c r="B2" s="1587" t="s">
        <v>141</v>
      </c>
      <c r="C2" s="1587"/>
      <c r="D2" s="1587"/>
      <c r="E2" s="1588"/>
      <c r="F2" s="1588"/>
      <c r="G2" s="1588"/>
      <c r="H2" s="1588"/>
      <c r="I2" s="1588"/>
      <c r="J2" s="1588"/>
    </row>
    <row r="3" spans="2:10" ht="18.75" thickBot="1" x14ac:dyDescent="0.3">
      <c r="B3" s="1587" t="s">
        <v>152</v>
      </c>
      <c r="C3" s="1587"/>
      <c r="D3" s="1587"/>
      <c r="E3" s="1588"/>
      <c r="F3" s="1588"/>
      <c r="G3" s="1588"/>
      <c r="H3" s="1588"/>
      <c r="I3" s="1588"/>
      <c r="J3" s="1588"/>
    </row>
    <row r="4" spans="2:10" ht="18.75" thickBot="1" x14ac:dyDescent="0.3">
      <c r="B4" s="45"/>
      <c r="C4" s="1583" t="s">
        <v>812</v>
      </c>
      <c r="D4" s="1586"/>
      <c r="E4" s="1583" t="s">
        <v>813</v>
      </c>
      <c r="F4" s="1584"/>
      <c r="G4" s="1585" t="s">
        <v>814</v>
      </c>
      <c r="H4" s="1586"/>
      <c r="I4" s="1583" t="s">
        <v>815</v>
      </c>
      <c r="J4" s="1584"/>
    </row>
    <row r="5" spans="2:10" ht="26.45" customHeight="1" x14ac:dyDescent="0.2">
      <c r="B5" s="1589" t="s">
        <v>24</v>
      </c>
      <c r="C5" s="1601" t="s">
        <v>77</v>
      </c>
      <c r="D5" s="1591" t="s">
        <v>130</v>
      </c>
      <c r="E5" s="1589" t="s">
        <v>77</v>
      </c>
      <c r="F5" s="1591" t="s">
        <v>130</v>
      </c>
      <c r="G5" s="1595" t="s">
        <v>77</v>
      </c>
      <c r="H5" s="1597" t="s">
        <v>130</v>
      </c>
      <c r="I5" s="1589" t="s">
        <v>77</v>
      </c>
      <c r="J5" s="1591" t="s">
        <v>130</v>
      </c>
    </row>
    <row r="6" spans="2:10" x14ac:dyDescent="0.2">
      <c r="B6" s="1590"/>
      <c r="C6" s="1602"/>
      <c r="D6" s="1592"/>
      <c r="E6" s="1590"/>
      <c r="F6" s="1592"/>
      <c r="G6" s="1596"/>
      <c r="H6" s="1598"/>
      <c r="I6" s="1590"/>
      <c r="J6" s="1592"/>
    </row>
    <row r="7" spans="2:10" ht="15.75" x14ac:dyDescent="0.25">
      <c r="B7" s="190" t="s">
        <v>3</v>
      </c>
      <c r="C7" s="1600" t="s">
        <v>119</v>
      </c>
      <c r="D7" s="1594"/>
      <c r="E7" s="1593" t="s">
        <v>119</v>
      </c>
      <c r="F7" s="1594"/>
      <c r="G7" s="1599" t="s">
        <v>119</v>
      </c>
      <c r="H7" s="1599"/>
      <c r="I7" s="1593" t="s">
        <v>119</v>
      </c>
      <c r="J7" s="1594"/>
    </row>
    <row r="8" spans="2:10" ht="15" x14ac:dyDescent="0.2">
      <c r="B8" s="191" t="s">
        <v>86</v>
      </c>
      <c r="C8" s="188">
        <f>+'CX cxj Año1 '!K12</f>
        <v>336.67361316441281</v>
      </c>
      <c r="D8" s="192">
        <f>+'CX cxj Año1 '!M12</f>
        <v>171.64</v>
      </c>
      <c r="E8" s="276">
        <f>'CX cxj Año2'!K12</f>
        <v>336.67361316441281</v>
      </c>
      <c r="F8" s="192">
        <f>'CX cxj Año2'!M12</f>
        <v>171.64</v>
      </c>
      <c r="G8" s="274">
        <f>'CX cxj Año3'!K12</f>
        <v>336.67361316441281</v>
      </c>
      <c r="H8" s="189">
        <f>'CX cxj Año3'!M12</f>
        <v>171.64</v>
      </c>
      <c r="I8" s="276">
        <f>'CX cxj Año4'!K12</f>
        <v>336.67361316441281</v>
      </c>
      <c r="J8" s="192">
        <f>'CX cxj Año4'!M12</f>
        <v>171.64</v>
      </c>
    </row>
    <row r="9" spans="2:10" ht="15" x14ac:dyDescent="0.2">
      <c r="B9" s="191" t="s">
        <v>87</v>
      </c>
      <c r="C9" s="188">
        <f>+'CX cxj Año1 '!K13</f>
        <v>411.25143164655367</v>
      </c>
      <c r="D9" s="192">
        <f>+'CX cxj Año1 '!M13</f>
        <v>209.65</v>
      </c>
      <c r="E9" s="276">
        <f>'CX cxj Año2'!K13</f>
        <v>411.25143164655367</v>
      </c>
      <c r="F9" s="192">
        <f>'CX cxj Año2'!M13</f>
        <v>209.65</v>
      </c>
      <c r="G9" s="274">
        <f>'CX cxj Año3'!K13</f>
        <v>411.25143164655367</v>
      </c>
      <c r="H9" s="189">
        <f>'CX cxj Año3'!M13</f>
        <v>209.65</v>
      </c>
      <c r="I9" s="276">
        <f>'CX cxj Año4'!K13</f>
        <v>411.25143164655367</v>
      </c>
      <c r="J9" s="192">
        <f>'CX cxj Año4'!M13</f>
        <v>209.65</v>
      </c>
    </row>
    <row r="10" spans="2:10" ht="15" x14ac:dyDescent="0.2">
      <c r="B10" s="191" t="s">
        <v>88</v>
      </c>
      <c r="C10" s="188">
        <f>+'CX cxj Año1 '!K14</f>
        <v>99.488060604864827</v>
      </c>
      <c r="D10" s="192">
        <f>+'CX cxj Año1 '!M14</f>
        <v>50.72</v>
      </c>
      <c r="E10" s="276">
        <f>'CX cxj Año2'!K14</f>
        <v>99.488060604864827</v>
      </c>
      <c r="F10" s="192">
        <f>'CX cxj Año2'!M14</f>
        <v>50.72</v>
      </c>
      <c r="G10" s="274">
        <f>'CX cxj Año3'!K14</f>
        <v>99.488060604864827</v>
      </c>
      <c r="H10" s="189">
        <f>'CX cxj Año3'!M14</f>
        <v>50.72</v>
      </c>
      <c r="I10" s="276">
        <f>'CX cxj Año4'!K14</f>
        <v>99.488060604864827</v>
      </c>
      <c r="J10" s="192">
        <f>'CX cxj Año4'!M14</f>
        <v>50.72</v>
      </c>
    </row>
    <row r="11" spans="2:10" ht="15" x14ac:dyDescent="0.2">
      <c r="B11" s="191" t="s">
        <v>89</v>
      </c>
      <c r="C11" s="188">
        <f>+'CX cxj Año1 '!K15</f>
        <v>419.09542213611172</v>
      </c>
      <c r="D11" s="192">
        <f>+'CX cxj Año1 '!M15</f>
        <v>213.65</v>
      </c>
      <c r="E11" s="276">
        <f>'CX cxj Año2'!K15</f>
        <v>419.09542213611172</v>
      </c>
      <c r="F11" s="192">
        <f>'CX cxj Año2'!M15</f>
        <v>213.65</v>
      </c>
      <c r="G11" s="274">
        <f>'CX cxj Año3'!K15</f>
        <v>419.09542213611172</v>
      </c>
      <c r="H11" s="189">
        <f>'CX cxj Año3'!M15</f>
        <v>213.65</v>
      </c>
      <c r="I11" s="276">
        <f>'CX cxj Año4'!K15</f>
        <v>419.09542213611172</v>
      </c>
      <c r="J11" s="192">
        <f>'CX cxj Año4'!M15</f>
        <v>213.65</v>
      </c>
    </row>
    <row r="12" spans="2:10" ht="15" x14ac:dyDescent="0.2">
      <c r="B12" s="191" t="s">
        <v>180</v>
      </c>
      <c r="C12" s="188">
        <f>+'CX cxj Año1 '!K16</f>
        <v>0</v>
      </c>
      <c r="D12" s="192">
        <f>+'CX cxj Año1 '!M16</f>
        <v>0</v>
      </c>
      <c r="E12" s="276">
        <f>'CX cxj Año2'!K16</f>
        <v>0</v>
      </c>
      <c r="F12" s="192">
        <f>'CX cxj Año2'!M16</f>
        <v>0</v>
      </c>
      <c r="G12" s="274">
        <f>'CX cxj Año3'!K16</f>
        <v>0</v>
      </c>
      <c r="H12" s="189">
        <f>'CX cxj Año3'!M16</f>
        <v>0</v>
      </c>
      <c r="I12" s="276">
        <f>'CX cxj Año4'!K16</f>
        <v>0</v>
      </c>
      <c r="J12" s="192">
        <f>'CX cxj Año4'!M16</f>
        <v>0</v>
      </c>
    </row>
    <row r="13" spans="2:10" ht="15" x14ac:dyDescent="0.2">
      <c r="B13" s="191" t="s">
        <v>181</v>
      </c>
      <c r="C13" s="188">
        <f>+'CX cxj Año1 '!K17</f>
        <v>0</v>
      </c>
      <c r="D13" s="192">
        <f>+'CX cxj Año1 '!M17</f>
        <v>0</v>
      </c>
      <c r="E13" s="276">
        <f>'CX cxj Año2'!K17</f>
        <v>0</v>
      </c>
      <c r="F13" s="192">
        <f>'CX cxj Año2'!M17</f>
        <v>0</v>
      </c>
      <c r="G13" s="274">
        <f>'CX cxj Año3'!K17</f>
        <v>0</v>
      </c>
      <c r="H13" s="189">
        <f>'CX cxj Año3'!M17</f>
        <v>0</v>
      </c>
      <c r="I13" s="276">
        <f>'CX cxj Año4'!K17</f>
        <v>0</v>
      </c>
      <c r="J13" s="192">
        <f>'CX cxj Año4'!M17</f>
        <v>0</v>
      </c>
    </row>
    <row r="14" spans="2:10" ht="15" x14ac:dyDescent="0.2">
      <c r="B14" s="191" t="s">
        <v>90</v>
      </c>
      <c r="C14" s="188">
        <f>+'CX cxj Año1 '!K18</f>
        <v>685.89240962712142</v>
      </c>
      <c r="D14" s="192">
        <f>+'CX cxj Año1 '!M18</f>
        <v>349.67</v>
      </c>
      <c r="E14" s="276">
        <f>'CX cxj Año2'!K18</f>
        <v>661.81472465660704</v>
      </c>
      <c r="F14" s="192">
        <f>'CX cxj Año2'!M18</f>
        <v>337.39</v>
      </c>
      <c r="G14" s="274">
        <f>'CX cxj Año3'!K18</f>
        <v>690.92252797057461</v>
      </c>
      <c r="H14" s="189">
        <f>'CX cxj Año3'!M18</f>
        <v>352.23</v>
      </c>
      <c r="I14" s="276">
        <f>'CX cxj Año4'!K18</f>
        <v>736.38169892955682</v>
      </c>
      <c r="J14" s="192">
        <f>'CX cxj Año4'!M18</f>
        <v>375.4</v>
      </c>
    </row>
    <row r="15" spans="2:10" ht="15" x14ac:dyDescent="0.2">
      <c r="B15" s="191" t="s">
        <v>168</v>
      </c>
      <c r="C15" s="188">
        <f>+'CX cxj Año1 '!K19</f>
        <v>0</v>
      </c>
      <c r="D15" s="192">
        <f>+'CX cxj Año1 '!M19</f>
        <v>0</v>
      </c>
      <c r="E15" s="276">
        <f>'CX cxj Año2'!K19</f>
        <v>0</v>
      </c>
      <c r="F15" s="192">
        <f>'CX cxj Año2'!M19</f>
        <v>0</v>
      </c>
      <c r="G15" s="274">
        <f>'CX cxj Año3'!K19</f>
        <v>0</v>
      </c>
      <c r="H15" s="189">
        <f>'CX cxj Año3'!M19</f>
        <v>0</v>
      </c>
      <c r="I15" s="276">
        <f>'CX cxj Año4'!K19</f>
        <v>0</v>
      </c>
      <c r="J15" s="192">
        <f>'CX cxj Año4'!M19</f>
        <v>0</v>
      </c>
    </row>
    <row r="16" spans="2:10" ht="15.75" x14ac:dyDescent="0.25">
      <c r="B16" s="190" t="s">
        <v>4</v>
      </c>
      <c r="C16" s="1600" t="s">
        <v>178</v>
      </c>
      <c r="D16" s="1594"/>
      <c r="E16" s="1593" t="s">
        <v>178</v>
      </c>
      <c r="F16" s="1594"/>
      <c r="G16" s="1599" t="s">
        <v>178</v>
      </c>
      <c r="H16" s="1599"/>
      <c r="I16" s="1593" t="s">
        <v>178</v>
      </c>
      <c r="J16" s="1594"/>
    </row>
    <row r="17" spans="2:10" ht="15" x14ac:dyDescent="0.2">
      <c r="B17" s="193" t="s">
        <v>171</v>
      </c>
      <c r="C17" s="188">
        <f>+'CX cxj Año1 '!K21</f>
        <v>3.7765955842017642</v>
      </c>
      <c r="D17" s="192">
        <f>+'CX cxj Año1 '!M21</f>
        <v>1.93</v>
      </c>
      <c r="E17" s="276">
        <f>'CX cxj Año2'!K21</f>
        <v>3.7765955842017642</v>
      </c>
      <c r="F17" s="192">
        <f>'CX cxj Año2'!M21</f>
        <v>1.93</v>
      </c>
      <c r="G17" s="274">
        <f>'CX cxj Año3'!K21</f>
        <v>3.7765955842017642</v>
      </c>
      <c r="H17" s="189">
        <f>'CX cxj Año3'!M21</f>
        <v>1.93</v>
      </c>
      <c r="I17" s="276">
        <f>'CX cxj Año4'!K21</f>
        <v>3.7765955842017642</v>
      </c>
      <c r="J17" s="192">
        <f>'CX cxj Año4'!M21</f>
        <v>1.93</v>
      </c>
    </row>
    <row r="18" spans="2:10" ht="15" x14ac:dyDescent="0.2">
      <c r="B18" s="194" t="s">
        <v>5</v>
      </c>
      <c r="C18" s="188">
        <f>+'CX cxj Año1 '!K22</f>
        <v>5.1949893915105534</v>
      </c>
      <c r="D18" s="192">
        <f>+'CX cxj Año1 '!M22</f>
        <v>2.65</v>
      </c>
      <c r="E18" s="276">
        <f>'CX cxj Año2'!K22</f>
        <v>5.1949893915105534</v>
      </c>
      <c r="F18" s="192">
        <f>'CX cxj Año2'!M22</f>
        <v>2.65</v>
      </c>
      <c r="G18" s="274">
        <f>'CX cxj Año3'!K22</f>
        <v>5.1949893915105534</v>
      </c>
      <c r="H18" s="189">
        <f>'CX cxj Año3'!M22</f>
        <v>2.65</v>
      </c>
      <c r="I18" s="276">
        <f>'CX cxj Año4'!K22</f>
        <v>5.1949893915105534</v>
      </c>
      <c r="J18" s="192">
        <f>'CX cxj Año4'!M22</f>
        <v>2.65</v>
      </c>
    </row>
    <row r="19" spans="2:10" ht="15" x14ac:dyDescent="0.2">
      <c r="B19" s="194" t="s">
        <v>6</v>
      </c>
      <c r="C19" s="188">
        <f>+'CX cxj Año1 '!K23</f>
        <v>2.7892156774915091</v>
      </c>
      <c r="D19" s="192">
        <f>+'CX cxj Año1 '!M23</f>
        <v>1.42</v>
      </c>
      <c r="E19" s="276">
        <f>'CX cxj Año2'!K23</f>
        <v>2.7892156774915091</v>
      </c>
      <c r="F19" s="192">
        <f>'CX cxj Año2'!M23</f>
        <v>1.42</v>
      </c>
      <c r="G19" s="274">
        <f>'CX cxj Año3'!K23</f>
        <v>2.7892156774915091</v>
      </c>
      <c r="H19" s="189">
        <f>'CX cxj Año3'!M23</f>
        <v>1.42</v>
      </c>
      <c r="I19" s="276">
        <f>'CX cxj Año4'!K23</f>
        <v>2.7892156774915091</v>
      </c>
      <c r="J19" s="192">
        <f>'CX cxj Año4'!M23</f>
        <v>1.42</v>
      </c>
    </row>
    <row r="20" spans="2:10" ht="15" x14ac:dyDescent="0.2">
      <c r="B20" s="194" t="s">
        <v>7</v>
      </c>
      <c r="C20" s="188">
        <f>+'CX cxj Año1 '!K24</f>
        <v>0</v>
      </c>
      <c r="D20" s="192">
        <f>+'CX cxj Año1 '!M24</f>
        <v>0</v>
      </c>
      <c r="E20" s="276">
        <f>'CX cxj Año2'!K24</f>
        <v>0</v>
      </c>
      <c r="F20" s="192">
        <f>'CX cxj Año2'!M24</f>
        <v>0</v>
      </c>
      <c r="G20" s="274">
        <f>'CX cxj Año3'!K24</f>
        <v>0</v>
      </c>
      <c r="H20" s="189">
        <f>'CX cxj Año3'!M24</f>
        <v>0</v>
      </c>
      <c r="I20" s="276">
        <f>'CX cxj Año4'!K24</f>
        <v>0</v>
      </c>
      <c r="J20" s="192">
        <f>'CX cxj Año4'!M24</f>
        <v>0</v>
      </c>
    </row>
    <row r="21" spans="2:10" ht="15.75" x14ac:dyDescent="0.25">
      <c r="B21" s="195" t="s">
        <v>8</v>
      </c>
      <c r="C21" s="1600" t="s">
        <v>179</v>
      </c>
      <c r="D21" s="1594"/>
      <c r="E21" s="1593" t="s">
        <v>179</v>
      </c>
      <c r="F21" s="1594"/>
      <c r="G21" s="1599" t="s">
        <v>179</v>
      </c>
      <c r="H21" s="1599"/>
      <c r="I21" s="1593" t="s">
        <v>179</v>
      </c>
      <c r="J21" s="1594"/>
    </row>
    <row r="22" spans="2:10" ht="15" x14ac:dyDescent="0.2">
      <c r="B22" s="196" t="s">
        <v>135</v>
      </c>
      <c r="C22" s="188">
        <f>+'CX cxj Año1 '!K26</f>
        <v>26.391024015176249</v>
      </c>
      <c r="D22" s="197">
        <f>+'CX cxj Año1 '!M26</f>
        <v>13.45</v>
      </c>
      <c r="E22" s="276">
        <f>'CX cxj Año2'!K26</f>
        <v>26.391024015176249</v>
      </c>
      <c r="F22" s="192">
        <f>'CX cxj Año2'!M26</f>
        <v>13.45</v>
      </c>
      <c r="G22" s="274">
        <f>'CX cxj Año3'!K26</f>
        <v>26.391024015176249</v>
      </c>
      <c r="H22" s="189">
        <f>'CX cxj Año3'!M26</f>
        <v>13.45</v>
      </c>
      <c r="I22" s="276">
        <f>'CX cxj Año4'!K26</f>
        <v>26.391024015176249</v>
      </c>
      <c r="J22" s="192">
        <f>'CX cxj Año4'!M26</f>
        <v>13.45</v>
      </c>
    </row>
    <row r="23" spans="2:10" ht="15.75" x14ac:dyDescent="0.25">
      <c r="B23" s="196" t="s">
        <v>139</v>
      </c>
      <c r="C23" s="188">
        <f>+'CX cxj Año1 '!K27</f>
        <v>0</v>
      </c>
      <c r="D23" s="198" t="str">
        <f>+'CX cxj Año1 '!M27</f>
        <v>N/A</v>
      </c>
      <c r="E23" s="868" t="str">
        <f>+'CX cxj Año1 '!M27</f>
        <v>N/A</v>
      </c>
      <c r="F23" s="198" t="s">
        <v>128</v>
      </c>
      <c r="G23" s="274">
        <f>+'CX cxj Año1 '!Q27</f>
        <v>0</v>
      </c>
      <c r="H23" s="278" t="s">
        <v>128</v>
      </c>
      <c r="I23" s="276">
        <f>+'CX cxj Año1 '!S27</f>
        <v>0</v>
      </c>
      <c r="J23" s="198" t="s">
        <v>128</v>
      </c>
    </row>
    <row r="24" spans="2:10" ht="15.75" x14ac:dyDescent="0.25">
      <c r="B24" s="196" t="s">
        <v>93</v>
      </c>
      <c r="C24" s="188">
        <f>+'CX cxj Año1 '!K28</f>
        <v>0</v>
      </c>
      <c r="D24" s="198" t="str">
        <f>+'CX cxj Año1 '!M28</f>
        <v>N/A</v>
      </c>
      <c r="E24" s="868" t="str">
        <f>+'CX cxj Año1 '!M28</f>
        <v>N/A</v>
      </c>
      <c r="F24" s="198" t="s">
        <v>128</v>
      </c>
      <c r="G24" s="274">
        <f>+'CX cxj Año1 '!Q28</f>
        <v>0</v>
      </c>
      <c r="H24" s="278" t="s">
        <v>128</v>
      </c>
      <c r="I24" s="276">
        <f>+'CX cxj Año1 '!S28</f>
        <v>0</v>
      </c>
      <c r="J24" s="198" t="s">
        <v>128</v>
      </c>
    </row>
    <row r="25" spans="2:10" ht="15.75" x14ac:dyDescent="0.25">
      <c r="B25" s="196" t="s">
        <v>134</v>
      </c>
      <c r="C25" s="188">
        <f>+'CX cxj Año1 '!K29</f>
        <v>0</v>
      </c>
      <c r="D25" s="198" t="str">
        <f>+'CX cxj Año1 '!M31</f>
        <v>N/A</v>
      </c>
      <c r="E25" s="868" t="str">
        <f>+'CX cxj Año1 '!M29</f>
        <v>N/A</v>
      </c>
      <c r="F25" s="198" t="s">
        <v>128</v>
      </c>
      <c r="G25" s="274">
        <f>+'CX cxj Año1 '!Q29</f>
        <v>0</v>
      </c>
      <c r="H25" s="278" t="s">
        <v>128</v>
      </c>
      <c r="I25" s="276">
        <f>+'CX cxj Año1 '!S29</f>
        <v>0</v>
      </c>
      <c r="J25" s="198" t="s">
        <v>128</v>
      </c>
    </row>
    <row r="26" spans="2:10" ht="15.75" x14ac:dyDescent="0.25">
      <c r="B26" s="196" t="s">
        <v>138</v>
      </c>
      <c r="C26" s="188">
        <f>+'CX cxj Año1 '!K30</f>
        <v>0</v>
      </c>
      <c r="D26" s="198" t="s">
        <v>128</v>
      </c>
      <c r="E26" s="868" t="str">
        <f>+'CX cxj Año1 '!M30</f>
        <v>N/A</v>
      </c>
      <c r="F26" s="198" t="s">
        <v>128</v>
      </c>
      <c r="G26" s="274">
        <f>+'CX cxj Año1 '!Q30</f>
        <v>0</v>
      </c>
      <c r="H26" s="278" t="s">
        <v>128</v>
      </c>
      <c r="I26" s="276">
        <f>+'CX cxj Año1 '!S30</f>
        <v>0</v>
      </c>
      <c r="J26" s="198" t="s">
        <v>128</v>
      </c>
    </row>
    <row r="27" spans="2:10" ht="15.75" x14ac:dyDescent="0.25">
      <c r="B27" s="196" t="s">
        <v>137</v>
      </c>
      <c r="C27" s="188">
        <f>+'CX cxj Año1 '!K31</f>
        <v>0</v>
      </c>
      <c r="D27" s="198" t="s">
        <v>128</v>
      </c>
      <c r="E27" s="868" t="str">
        <f>+'CX cxj Año1 '!M31</f>
        <v>N/A</v>
      </c>
      <c r="F27" s="198" t="s">
        <v>128</v>
      </c>
      <c r="G27" s="274">
        <f>+'CX cxj Año1 '!Q31</f>
        <v>0</v>
      </c>
      <c r="H27" s="278" t="s">
        <v>128</v>
      </c>
      <c r="I27" s="276">
        <f>+'CX cxj Año1 '!S31</f>
        <v>0</v>
      </c>
      <c r="J27" s="198" t="s">
        <v>128</v>
      </c>
    </row>
    <row r="28" spans="2:10" ht="15.75" x14ac:dyDescent="0.25">
      <c r="B28" s="196" t="s">
        <v>169</v>
      </c>
      <c r="C28" s="188"/>
      <c r="D28" s="198" t="s">
        <v>128</v>
      </c>
      <c r="E28" s="868" t="s">
        <v>128</v>
      </c>
      <c r="F28" s="198" t="s">
        <v>128</v>
      </c>
      <c r="G28" s="274">
        <f>+'CX cxj Año1 '!Q32</f>
        <v>0</v>
      </c>
      <c r="H28" s="198" t="s">
        <v>128</v>
      </c>
      <c r="I28" s="276">
        <f>+'CX cxj Año1 '!S32</f>
        <v>0</v>
      </c>
      <c r="J28" s="198" t="s">
        <v>128</v>
      </c>
    </row>
    <row r="29" spans="2:10" ht="18.600000000000001" customHeight="1" thickBot="1" x14ac:dyDescent="0.3">
      <c r="B29" s="201" t="str">
        <f>+'CX cxj Año1 '!A32</f>
        <v>CXL 230 KV Circuito Doble ACCC 1026</v>
      </c>
      <c r="C29" s="202">
        <f>+'CX cxj Año1 '!K32</f>
        <v>0</v>
      </c>
      <c r="D29" s="1582">
        <f>+'CX cxj Año1 '!M32</f>
        <v>0</v>
      </c>
      <c r="E29" s="869">
        <f>+'CX cxj Año2'!K32</f>
        <v>78.29383437959396</v>
      </c>
      <c r="F29" s="203">
        <f>+'CX cxj Año2'!M32</f>
        <v>39.909999999999997</v>
      </c>
      <c r="G29" s="275">
        <f>+'CX cxj Año3'!K32</f>
        <v>78.29383437959396</v>
      </c>
      <c r="H29" s="203">
        <f>+'CX cxj Año3'!M32</f>
        <v>39.909999999999997</v>
      </c>
      <c r="I29" s="277">
        <f>+'CX cxj Año4'!K32</f>
        <v>78.29383437959396</v>
      </c>
      <c r="J29" s="203">
        <f>+'CX cxj Año4'!M32</f>
        <v>39.909999999999997</v>
      </c>
    </row>
    <row r="30" spans="2:10" ht="5.45" customHeight="1" x14ac:dyDescent="0.25">
      <c r="B30" s="74"/>
      <c r="C30" s="251"/>
      <c r="D30" s="252"/>
      <c r="E30" s="251"/>
      <c r="F30" s="252"/>
      <c r="G30" s="251"/>
      <c r="H30" s="252"/>
      <c r="I30" s="251"/>
      <c r="J30" s="252"/>
    </row>
    <row r="31" spans="2:10" ht="9" hidden="1" customHeight="1" thickBot="1" x14ac:dyDescent="0.3">
      <c r="B31" s="74"/>
      <c r="C31" s="251"/>
      <c r="D31" s="252"/>
      <c r="E31" s="251"/>
      <c r="F31" s="252"/>
      <c r="G31" s="251"/>
      <c r="H31" s="252"/>
      <c r="I31" s="251"/>
      <c r="J31" s="252"/>
    </row>
    <row r="32" spans="2:10" ht="18.75" hidden="1" customHeight="1" x14ac:dyDescent="0.2">
      <c r="B32" s="1603" t="s">
        <v>126</v>
      </c>
      <c r="C32" s="1604"/>
      <c r="D32" s="1605"/>
      <c r="E32" s="120"/>
      <c r="F32" s="120"/>
      <c r="G32" s="120"/>
      <c r="H32" s="120"/>
      <c r="I32" s="120"/>
    </row>
    <row r="33" spans="2:9" ht="30.75" hidden="1" x14ac:dyDescent="0.25">
      <c r="B33" s="199" t="s">
        <v>127</v>
      </c>
      <c r="C33" s="1600" t="s">
        <v>119</v>
      </c>
      <c r="D33" s="1594"/>
      <c r="E33" s="121"/>
      <c r="F33" s="120"/>
      <c r="G33" s="120"/>
      <c r="H33" s="120"/>
      <c r="I33" s="120"/>
    </row>
    <row r="34" spans="2:9" ht="15.75" hidden="1" x14ac:dyDescent="0.25">
      <c r="B34" s="196" t="s">
        <v>120</v>
      </c>
      <c r="C34" s="188" t="e">
        <f>+#REF!</f>
        <v>#REF!</v>
      </c>
      <c r="D34" s="200" t="s">
        <v>128</v>
      </c>
      <c r="E34" s="121"/>
      <c r="F34" s="385" t="s">
        <v>335</v>
      </c>
      <c r="G34" s="120"/>
      <c r="H34" s="120"/>
      <c r="I34" s="120"/>
    </row>
    <row r="35" spans="2:9" ht="15.75" hidden="1" x14ac:dyDescent="0.25">
      <c r="B35" s="196" t="s">
        <v>121</v>
      </c>
      <c r="C35" s="188" t="e">
        <f>+#REF!</f>
        <v>#REF!</v>
      </c>
      <c r="D35" s="198" t="s">
        <v>128</v>
      </c>
      <c r="E35" s="121"/>
      <c r="F35" s="120"/>
      <c r="G35" s="120"/>
      <c r="H35" s="120"/>
      <c r="I35" s="120"/>
    </row>
    <row r="36" spans="2:9" ht="15.75" hidden="1" x14ac:dyDescent="0.25">
      <c r="B36" s="196" t="s">
        <v>122</v>
      </c>
      <c r="C36" s="188" t="e">
        <f>+#REF!</f>
        <v>#REF!</v>
      </c>
      <c r="D36" s="198" t="s">
        <v>128</v>
      </c>
      <c r="E36" s="121"/>
      <c r="F36" s="120"/>
      <c r="G36" s="120"/>
      <c r="H36" s="120"/>
      <c r="I36" s="120"/>
    </row>
    <row r="37" spans="2:9" ht="15.75" hidden="1" x14ac:dyDescent="0.25">
      <c r="B37" s="196" t="s">
        <v>123</v>
      </c>
      <c r="C37" s="188" t="e">
        <f>+#REF!</f>
        <v>#REF!</v>
      </c>
      <c r="D37" s="198" t="s">
        <v>128</v>
      </c>
      <c r="E37" s="121"/>
      <c r="F37" s="120"/>
      <c r="G37" s="120"/>
      <c r="H37" s="120"/>
      <c r="I37" s="120"/>
    </row>
    <row r="38" spans="2:9" ht="15.75" hidden="1" x14ac:dyDescent="0.25">
      <c r="B38" s="196" t="s">
        <v>124</v>
      </c>
      <c r="C38" s="188" t="e">
        <f>+#REF!</f>
        <v>#REF!</v>
      </c>
      <c r="D38" s="198" t="s">
        <v>128</v>
      </c>
      <c r="E38" s="121"/>
      <c r="F38" s="120"/>
      <c r="G38" s="120"/>
      <c r="H38" s="120"/>
      <c r="I38" s="120"/>
    </row>
    <row r="39" spans="2:9" ht="16.5" hidden="1" thickBot="1" x14ac:dyDescent="0.3">
      <c r="B39" s="201" t="s">
        <v>125</v>
      </c>
      <c r="C39" s="202" t="e">
        <f>+#REF!</f>
        <v>#REF!</v>
      </c>
      <c r="D39" s="203" t="s">
        <v>128</v>
      </c>
      <c r="E39" s="121"/>
      <c r="F39" s="120"/>
      <c r="G39" s="120"/>
      <c r="H39" s="120"/>
      <c r="I39" s="120"/>
    </row>
    <row r="40" spans="2:9" ht="15.75" hidden="1" x14ac:dyDescent="0.25">
      <c r="B40" s="74"/>
      <c r="C40" s="251"/>
      <c r="D40" s="252"/>
      <c r="E40" s="121"/>
      <c r="F40" s="120"/>
      <c r="G40" s="120"/>
      <c r="H40" s="120"/>
      <c r="I40" s="120"/>
    </row>
    <row r="41" spans="2:9" ht="15" hidden="1" x14ac:dyDescent="0.2">
      <c r="B41" s="74" t="s">
        <v>143</v>
      </c>
      <c r="C41" s="121"/>
      <c r="D41" s="121"/>
      <c r="E41" s="121"/>
      <c r="F41" s="120"/>
      <c r="G41" s="120"/>
      <c r="H41" s="120"/>
      <c r="I41" s="120"/>
    </row>
    <row r="42" spans="2:9" ht="15" hidden="1" x14ac:dyDescent="0.2">
      <c r="B42" s="74" t="s">
        <v>142</v>
      </c>
      <c r="C42" s="121"/>
      <c r="D42" s="121"/>
      <c r="E42" s="121"/>
      <c r="F42" s="120"/>
      <c r="G42" s="120"/>
      <c r="H42" s="120"/>
      <c r="I42" s="120"/>
    </row>
    <row r="43" spans="2:9" ht="15" hidden="1" x14ac:dyDescent="0.2">
      <c r="B43" s="74" t="s">
        <v>162</v>
      </c>
      <c r="C43" s="121"/>
      <c r="D43" s="121"/>
      <c r="E43" s="121"/>
      <c r="F43" s="120"/>
      <c r="G43" s="120"/>
      <c r="H43" s="120" t="s">
        <v>11</v>
      </c>
      <c r="I43" s="120"/>
    </row>
    <row r="44" spans="2:9" ht="15" hidden="1" x14ac:dyDescent="0.2">
      <c r="B44" s="74" t="s">
        <v>164</v>
      </c>
      <c r="C44" s="121"/>
      <c r="D44" s="121"/>
      <c r="E44" s="121"/>
      <c r="F44" s="120"/>
      <c r="G44" s="120"/>
      <c r="H44" s="120"/>
      <c r="I44" s="120"/>
    </row>
    <row r="45" spans="2:9" ht="15" hidden="1" x14ac:dyDescent="0.2">
      <c r="B45" s="74" t="s">
        <v>165</v>
      </c>
      <c r="C45" s="121"/>
      <c r="D45" s="121"/>
      <c r="E45" s="121"/>
      <c r="F45" s="120"/>
      <c r="G45" s="120"/>
      <c r="H45" s="120"/>
      <c r="I45" s="120"/>
    </row>
    <row r="46" spans="2:9" ht="7.15" hidden="1" customHeight="1" x14ac:dyDescent="0.2">
      <c r="B46" s="74"/>
      <c r="C46" s="121"/>
      <c r="D46" s="121"/>
      <c r="E46" s="121"/>
      <c r="F46" s="120"/>
      <c r="G46" s="120"/>
      <c r="H46" s="120"/>
      <c r="I46" s="120"/>
    </row>
    <row r="47" spans="2:9" ht="15" x14ac:dyDescent="0.2">
      <c r="B47" s="74" t="s">
        <v>170</v>
      </c>
      <c r="C47" s="121"/>
      <c r="D47" s="121"/>
      <c r="E47" s="121"/>
      <c r="F47" s="120"/>
      <c r="G47" s="120"/>
      <c r="H47" s="120"/>
      <c r="I47" s="120"/>
    </row>
    <row r="48" spans="2:9" ht="15" x14ac:dyDescent="0.2">
      <c r="B48" s="74" t="s">
        <v>163</v>
      </c>
      <c r="C48" s="121"/>
      <c r="D48" s="121"/>
      <c r="E48" s="121"/>
      <c r="F48" s="120"/>
      <c r="G48" s="120"/>
      <c r="H48" s="120"/>
      <c r="I48" s="120"/>
    </row>
    <row r="49" spans="2:9" ht="15" x14ac:dyDescent="0.2">
      <c r="B49" s="74"/>
      <c r="C49" s="121"/>
      <c r="D49" s="121"/>
      <c r="E49" s="121"/>
      <c r="F49" s="120"/>
      <c r="G49" s="120"/>
      <c r="H49" s="120"/>
      <c r="I49" s="120"/>
    </row>
    <row r="50" spans="2:9" ht="15" x14ac:dyDescent="0.2">
      <c r="C50" s="74"/>
      <c r="D50" s="74"/>
      <c r="E50" s="74"/>
    </row>
    <row r="51" spans="2:9" ht="15" x14ac:dyDescent="0.2">
      <c r="B51" s="74"/>
      <c r="C51" s="74"/>
      <c r="D51" s="74"/>
      <c r="E51" s="74"/>
    </row>
    <row r="52" spans="2:9" ht="15" x14ac:dyDescent="0.2">
      <c r="B52" s="74"/>
      <c r="C52" s="74"/>
      <c r="D52" s="74"/>
      <c r="E52" s="74"/>
    </row>
    <row r="53" spans="2:9" ht="15" x14ac:dyDescent="0.2">
      <c r="B53" s="74"/>
      <c r="C53" s="74"/>
      <c r="D53" s="74"/>
      <c r="E53" s="74"/>
    </row>
    <row r="54" spans="2:9" ht="15" x14ac:dyDescent="0.2">
      <c r="B54" s="74"/>
      <c r="C54" s="74"/>
      <c r="D54" s="74"/>
      <c r="E54" s="74"/>
    </row>
    <row r="55" spans="2:9" ht="15" x14ac:dyDescent="0.2">
      <c r="B55" s="74"/>
      <c r="C55" s="74"/>
      <c r="D55" s="74"/>
      <c r="E55" s="74"/>
    </row>
  </sheetData>
  <mergeCells count="30">
    <mergeCell ref="C33:D33"/>
    <mergeCell ref="C7:D7"/>
    <mergeCell ref="C16:D16"/>
    <mergeCell ref="C21:D21"/>
    <mergeCell ref="B5:B6"/>
    <mergeCell ref="C5:C6"/>
    <mergeCell ref="B32:D32"/>
    <mergeCell ref="D5:D6"/>
    <mergeCell ref="E5:E6"/>
    <mergeCell ref="F5:F6"/>
    <mergeCell ref="E7:F7"/>
    <mergeCell ref="E16:F16"/>
    <mergeCell ref="E21:F21"/>
    <mergeCell ref="G5:G6"/>
    <mergeCell ref="H5:H6"/>
    <mergeCell ref="G7:H7"/>
    <mergeCell ref="G16:H16"/>
    <mergeCell ref="G21:H21"/>
    <mergeCell ref="I5:I6"/>
    <mergeCell ref="J5:J6"/>
    <mergeCell ref="I7:J7"/>
    <mergeCell ref="I16:J16"/>
    <mergeCell ref="I21:J21"/>
    <mergeCell ref="E4:F4"/>
    <mergeCell ref="G4:H4"/>
    <mergeCell ref="I4:J4"/>
    <mergeCell ref="B1:J1"/>
    <mergeCell ref="B2:J2"/>
    <mergeCell ref="B3:J3"/>
    <mergeCell ref="C4:D4"/>
  </mergeCells>
  <phoneticPr fontId="0" type="noConversion"/>
  <printOptions horizontalCentered="1" verticalCentered="1"/>
  <pageMargins left="0.62992125984251968" right="0.62992125984251968" top="0.98425196850393704" bottom="1.3779527559055118" header="0" footer="1.0629921259842521"/>
  <pageSetup scale="75" orientation="portrait" r:id="rId1"/>
  <headerFooter alignWithMargins="0">
    <oddHeader>&amp;F</oddHeader>
    <oddFooter>&amp;L&amp;8HOJA: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B1:Q36"/>
  <sheetViews>
    <sheetView showGridLines="0" tabSelected="1" zoomScale="85" zoomScaleNormal="85" workbookViewId="0">
      <selection activeCell="T12" sqref="T12"/>
    </sheetView>
  </sheetViews>
  <sheetFormatPr baseColWidth="10" defaultColWidth="11.42578125" defaultRowHeight="14.25" x14ac:dyDescent="0.2"/>
  <cols>
    <col min="1" max="1" width="3" style="129" customWidth="1"/>
    <col min="2" max="2" width="43.85546875" style="129" customWidth="1"/>
    <col min="3" max="3" width="11.42578125" style="129"/>
    <col min="4" max="4" width="13.140625" style="129" bestFit="1" customWidth="1"/>
    <col min="5" max="5" width="14.28515625" style="129" customWidth="1"/>
    <col min="6" max="6" width="15.5703125" style="129" customWidth="1"/>
    <col min="7" max="7" width="14.28515625" style="129" customWidth="1"/>
    <col min="8" max="8" width="11.5703125" style="129" bestFit="1" customWidth="1"/>
    <col min="9" max="9" width="14.85546875" style="129" customWidth="1"/>
    <col min="10" max="13" width="13.42578125" style="129" customWidth="1"/>
    <col min="14" max="14" width="19" style="129" customWidth="1"/>
    <col min="15" max="15" width="13" style="129" customWidth="1"/>
    <col min="16" max="16384" width="11.42578125" style="129"/>
  </cols>
  <sheetData>
    <row r="1" spans="2:17" ht="24" customHeight="1" x14ac:dyDescent="0.25">
      <c r="B1" s="1664" t="s">
        <v>95</v>
      </c>
      <c r="C1" s="1664"/>
      <c r="D1" s="1664"/>
      <c r="E1" s="1664"/>
      <c r="F1" s="1664"/>
      <c r="G1" s="1664"/>
      <c r="H1" s="1664"/>
      <c r="I1" s="1664"/>
      <c r="J1" s="1664"/>
      <c r="K1" s="1664"/>
      <c r="L1" s="1664"/>
      <c r="M1" s="1664"/>
      <c r="N1" s="1664"/>
      <c r="O1" s="1664"/>
    </row>
    <row r="2" spans="2:17" ht="15" x14ac:dyDescent="0.25">
      <c r="B2" s="1664" t="s">
        <v>96</v>
      </c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664"/>
      <c r="O2" s="1664"/>
    </row>
    <row r="3" spans="2:17" ht="15.75" thickBot="1" x14ac:dyDescent="0.3">
      <c r="B3" s="1669" t="s">
        <v>31</v>
      </c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</row>
    <row r="4" spans="2:17" ht="12.75" customHeight="1" x14ac:dyDescent="0.2">
      <c r="B4" s="1673" t="s">
        <v>32</v>
      </c>
      <c r="C4" s="1665" t="s">
        <v>9</v>
      </c>
      <c r="D4" s="1665" t="s">
        <v>33</v>
      </c>
      <c r="E4" s="1665" t="s">
        <v>34</v>
      </c>
      <c r="F4" s="1665" t="s">
        <v>35</v>
      </c>
      <c r="G4" s="1665" t="s">
        <v>36</v>
      </c>
      <c r="H4" s="1665" t="s">
        <v>37</v>
      </c>
      <c r="I4" s="1665" t="s">
        <v>104</v>
      </c>
      <c r="J4" s="1665" t="s">
        <v>209</v>
      </c>
      <c r="K4" s="1665" t="s">
        <v>885</v>
      </c>
      <c r="L4" s="1665" t="s">
        <v>886</v>
      </c>
      <c r="M4" s="1727" t="s">
        <v>683</v>
      </c>
      <c r="N4" s="1665" t="s">
        <v>108</v>
      </c>
      <c r="O4" s="1667" t="s">
        <v>38</v>
      </c>
    </row>
    <row r="5" spans="2:17" ht="15" thickBot="1" x14ac:dyDescent="0.25">
      <c r="B5" s="1674"/>
      <c r="C5" s="1666"/>
      <c r="D5" s="1666"/>
      <c r="E5" s="1666"/>
      <c r="F5" s="1666"/>
      <c r="G5" s="1666"/>
      <c r="H5" s="1666"/>
      <c r="I5" s="1666"/>
      <c r="J5" s="1666"/>
      <c r="K5" s="1666"/>
      <c r="L5" s="1666"/>
      <c r="M5" s="1728"/>
      <c r="N5" s="1666"/>
      <c r="O5" s="1668">
        <f>SUM(D5:H5)</f>
        <v>0</v>
      </c>
    </row>
    <row r="6" spans="2:17" ht="15" x14ac:dyDescent="0.25">
      <c r="B6" s="244" t="str">
        <f>+' VNR'!B4</f>
        <v>Salidas de Conexión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132">
        <f>SUM(D6:N6)</f>
        <v>0</v>
      </c>
    </row>
    <row r="7" spans="2:17" ht="15" x14ac:dyDescent="0.25">
      <c r="B7" s="130" t="str">
        <f>+' VNR'!B5</f>
        <v>CXS34.5 Barra Sencilla</v>
      </c>
      <c r="C7" s="131" t="s">
        <v>39</v>
      </c>
      <c r="D7" s="131"/>
      <c r="E7" s="131">
        <f>+'SALIDAS Y TRANSFORMACION'!D61</f>
        <v>1</v>
      </c>
      <c r="F7" s="131"/>
      <c r="G7" s="131"/>
      <c r="H7" s="131"/>
      <c r="I7" s="131">
        <v>2</v>
      </c>
      <c r="J7" s="131"/>
      <c r="K7" s="131"/>
      <c r="L7" s="131"/>
      <c r="M7" s="131"/>
      <c r="N7" s="131"/>
      <c r="O7" s="132">
        <f>SUM(D7:N7)</f>
        <v>3</v>
      </c>
    </row>
    <row r="8" spans="2:17" ht="15" x14ac:dyDescent="0.25">
      <c r="B8" s="130" t="str">
        <f>+' VNR'!B6</f>
        <v>CXS34.5 Interruptor y Medio</v>
      </c>
      <c r="C8" s="131" t="s">
        <v>39</v>
      </c>
      <c r="D8" s="131">
        <f>+'SALIDAS Y TRANSFORMACION'!D65</f>
        <v>6</v>
      </c>
      <c r="E8" s="131"/>
      <c r="F8" s="131">
        <f>+'SALIDAS Y TRANSFORMACION'!D64</f>
        <v>4</v>
      </c>
      <c r="G8" s="131">
        <f>+'SALIDAS Y TRANSFORMACION'!D63</f>
        <v>3</v>
      </c>
      <c r="H8" s="131"/>
      <c r="I8" s="131"/>
      <c r="J8" s="131"/>
      <c r="K8" s="131"/>
      <c r="L8" s="131"/>
      <c r="M8" s="131"/>
      <c r="N8" s="131"/>
      <c r="O8" s="132">
        <f t="shared" ref="O8:O19" si="0">SUM(D8:N8)</f>
        <v>13</v>
      </c>
    </row>
    <row r="9" spans="2:17" ht="15" x14ac:dyDescent="0.25">
      <c r="B9" s="130" t="str">
        <f>+' VNR'!B7</f>
        <v>CXS115 Barra Sencilla</v>
      </c>
      <c r="C9" s="131" t="s">
        <v>39</v>
      </c>
      <c r="D9" s="131"/>
      <c r="E9" s="131"/>
      <c r="F9" s="131"/>
      <c r="G9" s="131">
        <f>+'SALIDAS Y TRANSFORMACION'!D55</f>
        <v>1</v>
      </c>
      <c r="H9" s="131">
        <f>+'SALIDAS Y TRANSFORMACION'!D58</f>
        <v>1</v>
      </c>
      <c r="I9" s="131">
        <v>1</v>
      </c>
      <c r="J9" s="131"/>
      <c r="K9" s="131"/>
      <c r="L9" s="131"/>
      <c r="M9" s="131"/>
      <c r="N9" s="131"/>
      <c r="O9" s="132">
        <f t="shared" si="0"/>
        <v>3</v>
      </c>
    </row>
    <row r="10" spans="2:17" ht="15" x14ac:dyDescent="0.25">
      <c r="B10" s="130" t="str">
        <f>+' VNR'!B8</f>
        <v>CXS115 Interruptor y Medio</v>
      </c>
      <c r="C10" s="131" t="s">
        <v>39</v>
      </c>
      <c r="D10" s="131"/>
      <c r="E10" s="131">
        <f>+'SALIDAS Y TRANSFORMACION'!D54</f>
        <v>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2">
        <f t="shared" si="0"/>
        <v>3</v>
      </c>
    </row>
    <row r="11" spans="2:17" s="134" customFormat="1" ht="15" x14ac:dyDescent="0.25">
      <c r="B11" s="130" t="s">
        <v>98</v>
      </c>
      <c r="C11" s="131" t="s">
        <v>39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2">
        <f t="shared" si="0"/>
        <v>0</v>
      </c>
    </row>
    <row r="12" spans="2:17" ht="15" x14ac:dyDescent="0.25">
      <c r="B12" s="130" t="s">
        <v>99</v>
      </c>
      <c r="C12" s="131" t="s">
        <v>39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>
        <f t="shared" si="0"/>
        <v>0</v>
      </c>
    </row>
    <row r="13" spans="2:17" ht="15" x14ac:dyDescent="0.25">
      <c r="B13" s="130" t="str">
        <f>+' VNR'!B11</f>
        <v>CXS230 Interruptor y Medio</v>
      </c>
      <c r="C13" s="131" t="s">
        <v>39</v>
      </c>
      <c r="D13" s="131">
        <f>+'SALIDAS Y TRANSFORMACION'!D48</f>
        <v>3</v>
      </c>
      <c r="E13" s="131">
        <f>+'SALIDAS Y TRANSFORMACION'!D9</f>
        <v>1</v>
      </c>
      <c r="F13" s="131"/>
      <c r="G13" s="131"/>
      <c r="H13" s="131"/>
      <c r="I13" s="131"/>
      <c r="J13" s="131">
        <f>+'SALIDAS Y TRANSFORMACION'!D22</f>
        <v>1</v>
      </c>
      <c r="K13" s="131">
        <v>1</v>
      </c>
      <c r="L13" s="131">
        <v>1</v>
      </c>
      <c r="M13" s="131"/>
      <c r="N13" s="131"/>
      <c r="O13" s="132">
        <f t="shared" si="0"/>
        <v>7</v>
      </c>
    </row>
    <row r="14" spans="2:17" ht="15" x14ac:dyDescent="0.25">
      <c r="B14" s="130" t="s">
        <v>168</v>
      </c>
      <c r="C14" s="131" t="s">
        <v>39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>
        <f t="shared" si="0"/>
        <v>0</v>
      </c>
      <c r="Q14" s="254"/>
    </row>
    <row r="15" spans="2:17" ht="15" x14ac:dyDescent="0.25">
      <c r="B15" s="246" t="str">
        <f>+' VNR'!B14</f>
        <v>Transformadores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>
        <f t="shared" si="0"/>
        <v>0</v>
      </c>
      <c r="P15" s="386">
        <f>SUM(O6:O15)</f>
        <v>29</v>
      </c>
      <c r="Q15" s="129" t="s">
        <v>331</v>
      </c>
    </row>
    <row r="16" spans="2:17" ht="15" x14ac:dyDescent="0.25">
      <c r="B16" s="130" t="str">
        <f>+' VNR'!B45</f>
        <v>CXTR Reductor 60/80/100 MVA</v>
      </c>
      <c r="C16" s="131" t="s">
        <v>2</v>
      </c>
      <c r="D16" s="131">
        <v>100</v>
      </c>
      <c r="E16" s="131">
        <v>100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2">
        <f t="shared" si="0"/>
        <v>200</v>
      </c>
    </row>
    <row r="17" spans="2:16" ht="15" x14ac:dyDescent="0.25">
      <c r="B17" s="130" t="str">
        <f>+' VNR'!B16</f>
        <v>CXTR Reductor 42/56/70 MVA</v>
      </c>
      <c r="C17" s="131" t="s">
        <v>2</v>
      </c>
      <c r="D17" s="131"/>
      <c r="E17" s="131">
        <v>140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2">
        <f t="shared" si="0"/>
        <v>140</v>
      </c>
    </row>
    <row r="18" spans="2:16" ht="15" x14ac:dyDescent="0.25">
      <c r="B18" s="130" t="str">
        <f>+' VNR'!B17</f>
        <v>CXTR Reductor 30/40/50 MVA</v>
      </c>
      <c r="C18" s="131" t="s">
        <v>2</v>
      </c>
      <c r="D18" s="131">
        <v>100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>
        <f t="shared" si="0"/>
        <v>100</v>
      </c>
    </row>
    <row r="19" spans="2:16" ht="15.75" thickBot="1" x14ac:dyDescent="0.3">
      <c r="B19" s="139" t="str">
        <f>+' VNR'!B18</f>
        <v>CXTR Reductor 20/24 MVA</v>
      </c>
      <c r="C19" s="140" t="s">
        <v>2</v>
      </c>
      <c r="D19" s="140"/>
      <c r="E19" s="140"/>
      <c r="F19" s="140"/>
      <c r="G19" s="140"/>
      <c r="H19" s="140">
        <f>+'SALIDAS Y TRANSFORMACION'!D42</f>
        <v>24</v>
      </c>
      <c r="I19" s="140"/>
      <c r="J19" s="140"/>
      <c r="K19" s="140"/>
      <c r="L19" s="140"/>
      <c r="M19" s="140"/>
      <c r="N19" s="140"/>
      <c r="O19" s="132">
        <f t="shared" si="0"/>
        <v>24</v>
      </c>
    </row>
    <row r="20" spans="2:16" ht="30.75" thickBot="1" x14ac:dyDescent="0.3">
      <c r="B20" s="247" t="s">
        <v>8</v>
      </c>
      <c r="C20" s="248"/>
      <c r="D20" s="249" t="s">
        <v>40</v>
      </c>
      <c r="E20" s="249" t="s">
        <v>41</v>
      </c>
      <c r="F20" s="249" t="s">
        <v>42</v>
      </c>
      <c r="G20" s="249" t="s">
        <v>43</v>
      </c>
      <c r="H20" s="249"/>
      <c r="I20" s="249"/>
      <c r="J20" s="249"/>
      <c r="K20" s="249"/>
      <c r="L20" s="249"/>
      <c r="M20" s="249"/>
      <c r="N20" s="249"/>
      <c r="O20" s="250" t="s">
        <v>38</v>
      </c>
    </row>
    <row r="21" spans="2:16" ht="15" x14ac:dyDescent="0.25">
      <c r="B21" s="136" t="str">
        <f>+' VNR'!B22</f>
        <v>CXL 115 KV Circuito Sencillo</v>
      </c>
      <c r="C21" s="135" t="s">
        <v>10</v>
      </c>
      <c r="D21" s="137">
        <v>5.8</v>
      </c>
      <c r="E21" s="137">
        <v>2</v>
      </c>
      <c r="F21" s="137">
        <v>0.5</v>
      </c>
      <c r="G21" s="137">
        <v>30</v>
      </c>
      <c r="H21" s="137"/>
      <c r="I21" s="137"/>
      <c r="J21" s="137"/>
      <c r="K21" s="137"/>
      <c r="L21" s="137"/>
      <c r="M21" s="137"/>
      <c r="N21" s="137"/>
      <c r="O21" s="138">
        <f>SUM(D21:N21)</f>
        <v>38.299999999999997</v>
      </c>
      <c r="P21" s="129" t="s">
        <v>11</v>
      </c>
    </row>
    <row r="22" spans="2:16" ht="15" thickBot="1" x14ac:dyDescent="0.25"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</row>
    <row r="23" spans="2:16" ht="15" x14ac:dyDescent="0.25">
      <c r="B23" s="1670"/>
      <c r="C23" s="1670"/>
      <c r="D23" s="1670"/>
      <c r="E23" s="1670"/>
      <c r="F23" s="1670"/>
      <c r="G23" s="1670"/>
      <c r="H23" s="1670"/>
      <c r="I23" s="1670"/>
      <c r="J23" s="1670"/>
      <c r="K23" s="1670"/>
      <c r="L23" s="1670"/>
      <c r="M23" s="1670"/>
      <c r="N23" s="1670"/>
      <c r="O23" s="1670"/>
    </row>
    <row r="24" spans="2:16" ht="15" x14ac:dyDescent="0.2">
      <c r="B24" s="1671"/>
      <c r="C24" s="142"/>
      <c r="D24" s="142"/>
      <c r="E24" s="142"/>
      <c r="F24" s="142"/>
      <c r="G24" s="142"/>
      <c r="H24" s="142"/>
      <c r="I24" s="1671"/>
      <c r="J24" s="142"/>
      <c r="K24" s="142"/>
      <c r="L24" s="142"/>
      <c r="M24" s="142"/>
      <c r="N24" s="142"/>
      <c r="O24" s="142"/>
    </row>
    <row r="25" spans="2:16" ht="15" x14ac:dyDescent="0.25">
      <c r="B25" s="1671"/>
      <c r="I25" s="1672"/>
      <c r="J25" s="143"/>
      <c r="K25" s="143"/>
      <c r="L25" s="143"/>
      <c r="M25" s="143"/>
      <c r="N25" s="143"/>
      <c r="O25" s="144"/>
    </row>
    <row r="26" spans="2:16" x14ac:dyDescent="0.2">
      <c r="B26" s="145"/>
      <c r="C26" s="146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6" x14ac:dyDescent="0.2">
      <c r="B27" s="145"/>
      <c r="C27" s="146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2:16" x14ac:dyDescent="0.2">
      <c r="B28" s="145"/>
      <c r="C28" s="146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2:16" x14ac:dyDescent="0.2">
      <c r="B29" s="145"/>
      <c r="C29" s="146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  <row r="30" spans="2:16" x14ac:dyDescent="0.2">
      <c r="B30" s="145"/>
      <c r="C30" s="146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2:16" ht="15" x14ac:dyDescent="0.25">
      <c r="B31" s="144"/>
      <c r="C31" s="146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2:16" x14ac:dyDescent="0.2">
      <c r="D32" s="147"/>
    </row>
    <row r="33" spans="4:15" x14ac:dyDescent="0.2">
      <c r="D33" s="147"/>
    </row>
    <row r="35" spans="4:15" x14ac:dyDescent="0.2">
      <c r="G35" s="148"/>
      <c r="O35" s="145"/>
    </row>
    <row r="36" spans="4:15" x14ac:dyDescent="0.2">
      <c r="O36" s="147"/>
    </row>
  </sheetData>
  <mergeCells count="20">
    <mergeCell ref="B23:O23"/>
    <mergeCell ref="B24:B25"/>
    <mergeCell ref="I24:I25"/>
    <mergeCell ref="D4:D5"/>
    <mergeCell ref="E4:E5"/>
    <mergeCell ref="F4:F5"/>
    <mergeCell ref="G4:G5"/>
    <mergeCell ref="B4:B5"/>
    <mergeCell ref="C4:C5"/>
    <mergeCell ref="N4:N5"/>
    <mergeCell ref="I4:I5"/>
    <mergeCell ref="J4:J5"/>
    <mergeCell ref="K4:K5"/>
    <mergeCell ref="L4:L5"/>
    <mergeCell ref="M4:M5"/>
    <mergeCell ref="B1:O1"/>
    <mergeCell ref="B2:O2"/>
    <mergeCell ref="H4:H5"/>
    <mergeCell ref="O4:O5"/>
    <mergeCell ref="B3:O3"/>
  </mergeCells>
  <phoneticPr fontId="0" type="noConversion"/>
  <printOptions horizontalCentered="1" verticalCentered="1"/>
  <pageMargins left="0.51181102362204722" right="0.45" top="1" bottom="1" header="0" footer="0"/>
  <pageSetup scale="78" orientation="landscape" r:id="rId1"/>
  <headerFooter alignWithMargins="0">
    <oddHeader>&amp;F</oddHeader>
    <oddFooter>&amp;LHOJA: 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B1:U143"/>
  <sheetViews>
    <sheetView showGridLines="0" topLeftCell="A8" zoomScale="55" zoomScaleNormal="55" workbookViewId="0">
      <selection activeCell="H59" sqref="H59"/>
    </sheetView>
  </sheetViews>
  <sheetFormatPr baseColWidth="10" defaultColWidth="11.42578125" defaultRowHeight="15" x14ac:dyDescent="0.25"/>
  <cols>
    <col min="1" max="1" width="3.7109375" style="893" customWidth="1"/>
    <col min="2" max="2" width="24.85546875" style="893" customWidth="1"/>
    <col min="3" max="3" width="18.42578125" style="893" customWidth="1"/>
    <col min="4" max="4" width="19.7109375" style="893" customWidth="1"/>
    <col min="5" max="5" width="20.42578125" style="893" customWidth="1"/>
    <col min="6" max="6" width="21.7109375" style="893" customWidth="1"/>
    <col min="7" max="7" width="21.28515625" style="893" customWidth="1"/>
    <col min="8" max="8" width="21.42578125" style="893" customWidth="1"/>
    <col min="9" max="9" width="16.7109375" style="893" customWidth="1"/>
    <col min="10" max="10" width="18.28515625" style="893" customWidth="1"/>
    <col min="11" max="11" width="16.5703125" style="893" customWidth="1"/>
    <col min="12" max="12" width="27" style="893" customWidth="1"/>
    <col min="13" max="13" width="12.85546875" style="893" customWidth="1"/>
    <col min="14" max="14" width="32.140625" style="893" customWidth="1"/>
    <col min="15" max="15" width="14" style="893" customWidth="1"/>
    <col min="16" max="16" width="11" style="893" customWidth="1"/>
    <col min="17" max="17" width="16.28515625" style="893" customWidth="1"/>
    <col min="18" max="18" width="26.7109375" style="893" customWidth="1"/>
    <col min="19" max="19" width="16.42578125" style="893" customWidth="1"/>
    <col min="20" max="20" width="14" style="893" customWidth="1"/>
    <col min="21" max="16384" width="11.42578125" style="893"/>
  </cols>
  <sheetData>
    <row r="1" spans="2:20" s="890" customFormat="1" ht="12.75" hidden="1" x14ac:dyDescent="0.2"/>
    <row r="2" spans="2:20" s="890" customFormat="1" ht="12.75" hidden="1" x14ac:dyDescent="0.2"/>
    <row r="3" spans="2:20" s="890" customFormat="1" ht="12.75" hidden="1" x14ac:dyDescent="0.2"/>
    <row r="4" spans="2:20" s="890" customFormat="1" ht="12.75" hidden="1" x14ac:dyDescent="0.2"/>
    <row r="5" spans="2:20" s="890" customFormat="1" ht="12.75" hidden="1" x14ac:dyDescent="0.2"/>
    <row r="6" spans="2:20" s="890" customFormat="1" ht="12.75" x14ac:dyDescent="0.2"/>
    <row r="7" spans="2:20" s="892" customFormat="1" ht="12.75" x14ac:dyDescent="0.2">
      <c r="B7" s="891" t="s">
        <v>184</v>
      </c>
    </row>
    <row r="8" spans="2:20" ht="15.75" thickBot="1" x14ac:dyDescent="0.3">
      <c r="R8" s="894"/>
      <c r="S8" s="894"/>
      <c r="T8" s="894"/>
    </row>
    <row r="9" spans="2:20" ht="15.75" thickBot="1" x14ac:dyDescent="0.3">
      <c r="Q9" s="1675" t="s">
        <v>44</v>
      </c>
      <c r="R9" s="1680"/>
      <c r="S9" s="1676"/>
      <c r="T9" s="894"/>
    </row>
    <row r="10" spans="2:20" ht="50.25" customHeight="1" thickBot="1" x14ac:dyDescent="0.3">
      <c r="B10" s="1155" t="s">
        <v>189</v>
      </c>
      <c r="C10" s="1153" t="s">
        <v>647</v>
      </c>
      <c r="D10" s="1153" t="s">
        <v>648</v>
      </c>
      <c r="E10" s="1153" t="s">
        <v>738</v>
      </c>
      <c r="F10" s="1153" t="s">
        <v>739</v>
      </c>
      <c r="G10" s="1153" t="s">
        <v>740</v>
      </c>
      <c r="H10" s="1153" t="s">
        <v>746</v>
      </c>
      <c r="I10" s="1130" t="s">
        <v>741</v>
      </c>
      <c r="L10" s="1178"/>
      <c r="M10" s="1696" t="s">
        <v>758</v>
      </c>
      <c r="N10" s="1697"/>
      <c r="O10" s="1184" t="s">
        <v>195</v>
      </c>
      <c r="P10" s="1184" t="s">
        <v>196</v>
      </c>
      <c r="Q10" s="1184" t="s">
        <v>789</v>
      </c>
      <c r="R10" s="1184" t="s">
        <v>790</v>
      </c>
      <c r="S10" s="1184" t="s">
        <v>791</v>
      </c>
      <c r="T10" s="1184" t="s">
        <v>792</v>
      </c>
    </row>
    <row r="11" spans="2:20" x14ac:dyDescent="0.25">
      <c r="B11" s="1157" t="s">
        <v>201</v>
      </c>
      <c r="C11" s="1463">
        <v>59041277.543091998</v>
      </c>
      <c r="D11" s="1463">
        <v>21881954.154694799</v>
      </c>
      <c r="E11" s="1152">
        <v>55103117.535010479</v>
      </c>
      <c r="F11" s="1152">
        <v>97239574.907470822</v>
      </c>
      <c r="G11" s="1464">
        <v>81268835.367470801</v>
      </c>
      <c r="H11" s="1154">
        <f>+G11/F11-1</f>
        <v>-0.1642411492974658</v>
      </c>
      <c r="I11" s="1131">
        <f>+(G11-E11)/E11</f>
        <v>0.47485004484248272</v>
      </c>
      <c r="J11" s="1708" t="s">
        <v>806</v>
      </c>
      <c r="K11" s="1709"/>
      <c r="L11" s="1179"/>
      <c r="M11" s="1185" t="s">
        <v>202</v>
      </c>
      <c r="N11" s="1186" t="s">
        <v>759</v>
      </c>
      <c r="O11" s="1187">
        <v>1976</v>
      </c>
      <c r="P11" s="1188">
        <v>50.88</v>
      </c>
      <c r="Q11" s="1685">
        <v>19615932.974096179</v>
      </c>
      <c r="R11" s="1685">
        <v>28469831.825914901</v>
      </c>
      <c r="S11" s="1688">
        <v>26254185.861637991</v>
      </c>
      <c r="T11" s="1689">
        <f>+S11/R11-1</f>
        <v>-7.7824343249548122E-2</v>
      </c>
    </row>
    <row r="12" spans="2:20" x14ac:dyDescent="0.25">
      <c r="B12" s="1157" t="s">
        <v>204</v>
      </c>
      <c r="C12" s="1463">
        <v>46032709.893856809</v>
      </c>
      <c r="D12" s="1463">
        <v>28674587.299175214</v>
      </c>
      <c r="E12" s="1152">
        <v>63512469.762898535</v>
      </c>
      <c r="F12" s="1152">
        <v>83871326.059948027</v>
      </c>
      <c r="G12" s="1465">
        <v>75145522.248748019</v>
      </c>
      <c r="H12" s="1154">
        <f t="shared" ref="H12:H25" si="0">+G12/F12-1</f>
        <v>-0.10403798557999588</v>
      </c>
      <c r="I12" s="1131">
        <f t="shared" ref="I12:I25" si="1">+(G12-E12)/E12</f>
        <v>0.1831617087050369</v>
      </c>
      <c r="J12" s="1708" t="s">
        <v>807</v>
      </c>
      <c r="K12" s="1709"/>
      <c r="L12" s="1179"/>
      <c r="M12" s="1189" t="s">
        <v>205</v>
      </c>
      <c r="N12" s="298" t="s">
        <v>760</v>
      </c>
      <c r="O12" s="297">
        <v>1976</v>
      </c>
      <c r="P12" s="299">
        <v>19.010000000000002</v>
      </c>
      <c r="Q12" s="1686"/>
      <c r="R12" s="1687"/>
      <c r="S12" s="1684"/>
      <c r="T12" s="1690"/>
    </row>
    <row r="13" spans="2:20" x14ac:dyDescent="0.25">
      <c r="B13" s="1157" t="s">
        <v>33</v>
      </c>
      <c r="C13" s="1463">
        <v>14205732.554233395</v>
      </c>
      <c r="D13" s="1463"/>
      <c r="E13" s="1152">
        <v>24367575.7744928</v>
      </c>
      <c r="F13" s="1152">
        <v>37769247.272560798</v>
      </c>
      <c r="G13" s="1465">
        <v>14205732.554233395</v>
      </c>
      <c r="H13" s="1154">
        <f t="shared" si="0"/>
        <v>-0.6238809724822395</v>
      </c>
      <c r="I13" s="1131">
        <f t="shared" si="1"/>
        <v>-0.41702315053007855</v>
      </c>
      <c r="J13" s="1708" t="s">
        <v>807</v>
      </c>
      <c r="K13" s="1709"/>
      <c r="L13" s="1179"/>
      <c r="M13" s="1189" t="s">
        <v>207</v>
      </c>
      <c r="N13" s="298" t="s">
        <v>761</v>
      </c>
      <c r="O13" s="297">
        <v>1976</v>
      </c>
      <c r="P13" s="299">
        <v>60.53</v>
      </c>
      <c r="Q13" s="1686"/>
      <c r="R13" s="1687"/>
      <c r="S13" s="1684"/>
      <c r="T13" s="1690"/>
    </row>
    <row r="14" spans="2:20" x14ac:dyDescent="0.25">
      <c r="B14" s="1157" t="s">
        <v>209</v>
      </c>
      <c r="C14" s="1463">
        <v>9975106.1939016003</v>
      </c>
      <c r="D14" s="1463"/>
      <c r="E14" s="1152">
        <v>13720068.199697599</v>
      </c>
      <c r="F14" s="1152">
        <v>15808028.239438001</v>
      </c>
      <c r="G14" s="1465">
        <v>9975106.1939016003</v>
      </c>
      <c r="H14" s="1154">
        <f t="shared" si="0"/>
        <v>-0.36898479413038865</v>
      </c>
      <c r="I14" s="1131">
        <f t="shared" si="1"/>
        <v>-0.27295505760521954</v>
      </c>
      <c r="J14" s="1250"/>
      <c r="K14" s="1250"/>
      <c r="L14" s="1180"/>
      <c r="M14" s="1191"/>
      <c r="N14" s="302" t="s">
        <v>762</v>
      </c>
      <c r="O14" s="301">
        <v>1976</v>
      </c>
      <c r="P14" s="301">
        <v>10.67</v>
      </c>
      <c r="Q14" s="1686"/>
      <c r="R14" s="1687"/>
      <c r="S14" s="1684"/>
      <c r="T14" s="1690"/>
    </row>
    <row r="15" spans="2:20" x14ac:dyDescent="0.25">
      <c r="B15" s="1157" t="s">
        <v>34</v>
      </c>
      <c r="C15" s="1463">
        <v>57011966.852474019</v>
      </c>
      <c r="D15" s="1463"/>
      <c r="E15" s="1152">
        <v>47891590.834037587</v>
      </c>
      <c r="F15" s="1152">
        <v>82809522.854122028</v>
      </c>
      <c r="G15" s="1465">
        <v>56954346.181484647</v>
      </c>
      <c r="H15" s="1154">
        <f t="shared" si="0"/>
        <v>-0.31222467877497717</v>
      </c>
      <c r="I15" s="1131">
        <f t="shared" si="1"/>
        <v>0.18923479445176342</v>
      </c>
      <c r="J15" s="1708" t="s">
        <v>808</v>
      </c>
      <c r="K15" s="1709"/>
      <c r="L15" s="1181"/>
      <c r="M15" s="1191" t="s">
        <v>210</v>
      </c>
      <c r="N15" s="302" t="s">
        <v>211</v>
      </c>
      <c r="O15" s="301">
        <v>1976</v>
      </c>
      <c r="P15" s="301">
        <v>13.09</v>
      </c>
      <c r="Q15" s="1175">
        <v>4485637.8776653893</v>
      </c>
      <c r="R15" s="1175">
        <v>6365251.3720569806</v>
      </c>
      <c r="S15" s="1473">
        <v>5291307.4606879503</v>
      </c>
      <c r="T15" s="1190">
        <f>+S15/R15-1</f>
        <v>-0.16871979574657037</v>
      </c>
    </row>
    <row r="16" spans="2:20" x14ac:dyDescent="0.25">
      <c r="B16" s="1157" t="s">
        <v>214</v>
      </c>
      <c r="C16" s="1463">
        <v>38967373.227820002</v>
      </c>
      <c r="D16" s="1463"/>
      <c r="E16" s="1152">
        <v>33344753.210741606</v>
      </c>
      <c r="F16" s="1152">
        <v>46010880.697420001</v>
      </c>
      <c r="G16" s="1465">
        <v>38967373.227820002</v>
      </c>
      <c r="H16" s="1154">
        <f t="shared" si="0"/>
        <v>-0.1530835176992158</v>
      </c>
      <c r="I16" s="1131">
        <f t="shared" si="1"/>
        <v>0.16862083163557909</v>
      </c>
      <c r="J16" s="1708" t="s">
        <v>807</v>
      </c>
      <c r="K16" s="1709"/>
      <c r="L16" s="1181"/>
      <c r="M16" s="1191" t="s">
        <v>212</v>
      </c>
      <c r="N16" s="302" t="s">
        <v>213</v>
      </c>
      <c r="O16" s="301">
        <v>1978</v>
      </c>
      <c r="P16" s="304">
        <v>40.479999999999997</v>
      </c>
      <c r="Q16" s="1175">
        <v>11501137.176232608</v>
      </c>
      <c r="R16" s="1175">
        <v>16336505.667489335</v>
      </c>
      <c r="S16" s="1473">
        <v>13601353.423229374</v>
      </c>
      <c r="T16" s="1190">
        <f>+S16/R16-1</f>
        <v>-0.16742578247336481</v>
      </c>
    </row>
    <row r="17" spans="2:20" x14ac:dyDescent="0.25">
      <c r="B17" s="1157" t="s">
        <v>217</v>
      </c>
      <c r="C17" s="1463">
        <v>13149164.575438002</v>
      </c>
      <c r="D17" s="1463"/>
      <c r="E17" s="1152">
        <v>10822833.2107968</v>
      </c>
      <c r="F17" s="1152">
        <v>15832405.516237998</v>
      </c>
      <c r="G17" s="1465">
        <v>13149164.575438002</v>
      </c>
      <c r="H17" s="1154">
        <f t="shared" si="0"/>
        <v>-0.16947778011673698</v>
      </c>
      <c r="I17" s="1131">
        <f t="shared" si="1"/>
        <v>0.21494661511742297</v>
      </c>
      <c r="L17" s="1181" t="s">
        <v>218</v>
      </c>
      <c r="M17" s="1191" t="s">
        <v>215</v>
      </c>
      <c r="N17" s="302" t="s">
        <v>763</v>
      </c>
      <c r="O17" s="301">
        <v>1978</v>
      </c>
      <c r="P17" s="305">
        <v>60.81</v>
      </c>
      <c r="Q17" s="1175">
        <v>40539368.136075482</v>
      </c>
      <c r="R17" s="1175">
        <v>24541079.783597495</v>
      </c>
      <c r="S17" s="1473">
        <v>20432270.298087407</v>
      </c>
      <c r="T17" s="1190"/>
    </row>
    <row r="18" spans="2:20" x14ac:dyDescent="0.25">
      <c r="B18" s="1157" t="s">
        <v>221</v>
      </c>
      <c r="C18" s="1463">
        <v>31816702.168919999</v>
      </c>
      <c r="D18" s="1463">
        <v>6202149.7415670026</v>
      </c>
      <c r="E18" s="1152">
        <v>33920683.330166601</v>
      </c>
      <c r="F18" s="1152">
        <v>41657208.247935012</v>
      </c>
      <c r="G18" s="1465">
        <v>37570166.189534999</v>
      </c>
      <c r="H18" s="1154">
        <f t="shared" si="0"/>
        <v>-9.811128086344123E-2</v>
      </c>
      <c r="I18" s="1131">
        <f t="shared" si="1"/>
        <v>0.10758871877214846</v>
      </c>
      <c r="L18" s="1181" t="s">
        <v>222</v>
      </c>
      <c r="M18" s="1191" t="s">
        <v>764</v>
      </c>
      <c r="N18" s="302" t="s">
        <v>765</v>
      </c>
      <c r="O18" s="301">
        <v>1978</v>
      </c>
      <c r="P18" s="301">
        <v>81.93</v>
      </c>
      <c r="Q18" s="1175"/>
      <c r="R18" s="1175">
        <v>33064474.044896275</v>
      </c>
      <c r="S18" s="1473">
        <v>27528628.605859261</v>
      </c>
      <c r="T18" s="1192"/>
    </row>
    <row r="19" spans="2:20" x14ac:dyDescent="0.25">
      <c r="B19" s="1157" t="s">
        <v>36</v>
      </c>
      <c r="C19" s="1463">
        <v>14861739.977099603</v>
      </c>
      <c r="D19" s="1463"/>
      <c r="E19" s="1152">
        <v>13521369.5070624</v>
      </c>
      <c r="F19" s="1152">
        <v>16203360.447499601</v>
      </c>
      <c r="G19" s="1465">
        <v>14861739.977099603</v>
      </c>
      <c r="H19" s="1154">
        <f t="shared" si="0"/>
        <v>-8.2798903026750081E-2</v>
      </c>
      <c r="I19" s="1131">
        <f t="shared" si="1"/>
        <v>9.9129786323575372E-2</v>
      </c>
      <c r="L19" s="1182"/>
      <c r="M19" s="1191" t="s">
        <v>766</v>
      </c>
      <c r="N19" s="302" t="s">
        <v>220</v>
      </c>
      <c r="O19" s="301">
        <v>1978</v>
      </c>
      <c r="P19" s="307">
        <v>110.21</v>
      </c>
      <c r="Q19" s="904"/>
      <c r="R19" s="1175"/>
      <c r="S19" s="1684">
        <v>38183246.121931471</v>
      </c>
      <c r="T19" s="1192"/>
    </row>
    <row r="20" spans="2:20" x14ac:dyDescent="0.25">
      <c r="B20" s="1157" t="s">
        <v>227</v>
      </c>
      <c r="C20" s="1463">
        <v>4825897.6157364016</v>
      </c>
      <c r="D20" s="1463"/>
      <c r="E20" s="1152">
        <v>4095974.6224488001</v>
      </c>
      <c r="F20" s="1152">
        <v>5832112.9685363993</v>
      </c>
      <c r="G20" s="1465">
        <v>4825897.6157364016</v>
      </c>
      <c r="H20" s="1154">
        <f t="shared" si="0"/>
        <v>-0.17253015471895305</v>
      </c>
      <c r="I20" s="1131">
        <f t="shared" si="1"/>
        <v>0.17820495988600954</v>
      </c>
      <c r="L20" s="1182"/>
      <c r="M20" s="1191" t="s">
        <v>767</v>
      </c>
      <c r="N20" s="302" t="s">
        <v>768</v>
      </c>
      <c r="O20" s="301">
        <v>1978</v>
      </c>
      <c r="P20" s="307">
        <v>107.97</v>
      </c>
      <c r="Q20" s="1175">
        <v>31452613.602793947</v>
      </c>
      <c r="R20" s="1175">
        <v>45861672.530965619</v>
      </c>
      <c r="S20" s="1684"/>
      <c r="T20" s="1192">
        <f>+S20/R20-1</f>
        <v>-1</v>
      </c>
    </row>
    <row r="21" spans="2:20" s="1140" customFormat="1" x14ac:dyDescent="0.25">
      <c r="B21" s="1157" t="s">
        <v>233</v>
      </c>
      <c r="C21" s="1463">
        <v>5694527.8163256012</v>
      </c>
      <c r="D21" s="1463"/>
      <c r="E21" s="1152">
        <v>4468634.3054807978</v>
      </c>
      <c r="F21" s="1152">
        <v>6700743.1691255998</v>
      </c>
      <c r="G21" s="1465">
        <v>5694527.8163256012</v>
      </c>
      <c r="H21" s="1154">
        <f t="shared" si="0"/>
        <v>-0.15016473955250886</v>
      </c>
      <c r="I21" s="1131">
        <f t="shared" si="1"/>
        <v>0.2743329230009357</v>
      </c>
      <c r="L21" s="1182"/>
      <c r="M21" s="1191" t="s">
        <v>769</v>
      </c>
      <c r="N21" s="302" t="s">
        <v>770</v>
      </c>
      <c r="O21" s="301">
        <v>1978</v>
      </c>
      <c r="P21" s="307">
        <v>8.66</v>
      </c>
      <c r="Q21" s="1175"/>
      <c r="R21" s="1175"/>
      <c r="S21" s="1684"/>
      <c r="T21" s="1193"/>
    </row>
    <row r="22" spans="2:20" x14ac:dyDescent="0.25">
      <c r="B22" s="1157" t="s">
        <v>236</v>
      </c>
      <c r="C22" s="1463">
        <v>13677629.115275599</v>
      </c>
      <c r="D22" s="1463"/>
      <c r="E22" s="1152">
        <v>17015885.675417595</v>
      </c>
      <c r="F22" s="1152">
        <v>15690059.820875602</v>
      </c>
      <c r="G22" s="1465">
        <v>13677629.115275599</v>
      </c>
      <c r="H22" s="1154">
        <f t="shared" si="0"/>
        <v>-0.1282615062386484</v>
      </c>
      <c r="I22" s="1131">
        <f t="shared" si="1"/>
        <v>-0.19618470785594708</v>
      </c>
      <c r="L22" s="1182"/>
      <c r="M22" s="1191" t="s">
        <v>223</v>
      </c>
      <c r="N22" s="302" t="s">
        <v>224</v>
      </c>
      <c r="O22" s="301">
        <v>1979</v>
      </c>
      <c r="P22" s="307">
        <v>85.6</v>
      </c>
      <c r="Q22" s="1175">
        <v>24112433.747391887</v>
      </c>
      <c r="R22" s="1175">
        <v>45292347.605514526</v>
      </c>
      <c r="S22" s="1473">
        <v>39616050.914236382</v>
      </c>
      <c r="T22" s="1192">
        <f t="shared" ref="T22:T36" si="2">+S22/R22-1</f>
        <v>-0.125325733625409</v>
      </c>
    </row>
    <row r="23" spans="2:20" x14ac:dyDescent="0.25">
      <c r="B23" s="1157" t="s">
        <v>239</v>
      </c>
      <c r="C23" s="1463"/>
      <c r="D23" s="1463">
        <v>9529045.8092842102</v>
      </c>
      <c r="E23" s="1152">
        <v>8060963.1956341695</v>
      </c>
      <c r="F23" s="1152">
        <v>10355326.181348205</v>
      </c>
      <c r="G23" s="1465">
        <v>10355326.181348205</v>
      </c>
      <c r="H23" s="1154">
        <f t="shared" si="0"/>
        <v>0</v>
      </c>
      <c r="I23" s="1131">
        <f t="shared" si="1"/>
        <v>0.28462640630299191</v>
      </c>
      <c r="L23" s="1182"/>
      <c r="M23" s="1191" t="s">
        <v>225</v>
      </c>
      <c r="N23" s="302" t="s">
        <v>226</v>
      </c>
      <c r="O23" s="301">
        <v>1984</v>
      </c>
      <c r="P23" s="307">
        <v>37.72</v>
      </c>
      <c r="Q23" s="1175">
        <v>10702050.722300813</v>
      </c>
      <c r="R23" s="1175">
        <v>15222653.008342337</v>
      </c>
      <c r="S23" s="1473">
        <v>14379459.392710263</v>
      </c>
      <c r="T23" s="1192">
        <f t="shared" si="2"/>
        <v>-5.5390713771770628E-2</v>
      </c>
    </row>
    <row r="24" spans="2:20" x14ac:dyDescent="0.25">
      <c r="B24" s="1157" t="s">
        <v>242</v>
      </c>
      <c r="C24" s="1463"/>
      <c r="D24" s="1463">
        <v>10868171.611473605</v>
      </c>
      <c r="E24" s="1152">
        <v>8720923.8929019459</v>
      </c>
      <c r="F24" s="1152">
        <v>12004307.123061605</v>
      </c>
      <c r="G24" s="1465">
        <v>12004307.123061605</v>
      </c>
      <c r="H24" s="1154">
        <f t="shared" si="0"/>
        <v>0</v>
      </c>
      <c r="I24" s="1131">
        <f t="shared" si="1"/>
        <v>0.37649488408355908</v>
      </c>
      <c r="L24" s="1182"/>
      <c r="M24" s="1189" t="s">
        <v>771</v>
      </c>
      <c r="N24" s="298" t="s">
        <v>772</v>
      </c>
      <c r="O24" s="297">
        <v>2006</v>
      </c>
      <c r="P24" s="309">
        <v>151.16999999999999</v>
      </c>
      <c r="Q24" s="1175">
        <v>66942636.108853683</v>
      </c>
      <c r="R24" s="1175">
        <v>73832859.239131868</v>
      </c>
      <c r="S24" s="1473">
        <v>60898971.207499489</v>
      </c>
      <c r="T24" s="1190">
        <f t="shared" si="2"/>
        <v>-0.17517793791165193</v>
      </c>
    </row>
    <row r="25" spans="2:20" ht="15.75" thickBot="1" x14ac:dyDescent="0.3">
      <c r="B25" s="1157" t="s">
        <v>245</v>
      </c>
      <c r="C25" s="1463"/>
      <c r="D25" s="1463">
        <v>6827942.3000056036</v>
      </c>
      <c r="E25" s="1152">
        <v>5111029.9255999736</v>
      </c>
      <c r="F25" s="1152">
        <v>7550937.6255616052</v>
      </c>
      <c r="G25" s="1465">
        <v>7550937.6255616052</v>
      </c>
      <c r="H25" s="1154">
        <f t="shared" si="0"/>
        <v>0</v>
      </c>
      <c r="I25" s="1132">
        <f t="shared" si="1"/>
        <v>0.47738082841986407</v>
      </c>
      <c r="L25" s="1182"/>
      <c r="M25" s="1189" t="s">
        <v>773</v>
      </c>
      <c r="N25" s="298" t="s">
        <v>774</v>
      </c>
      <c r="O25" s="297">
        <v>2006</v>
      </c>
      <c r="P25" s="309">
        <v>44.65</v>
      </c>
      <c r="Q25" s="1175"/>
      <c r="R25" s="1175">
        <v>21807482.734849758</v>
      </c>
      <c r="S25" s="1473">
        <v>17987292.87831483</v>
      </c>
      <c r="T25" s="1190">
        <f t="shared" si="2"/>
        <v>-0.1751779379116517</v>
      </c>
    </row>
    <row r="26" spans="2:20" ht="15.75" thickBot="1" x14ac:dyDescent="0.3">
      <c r="B26" s="1133" t="s">
        <v>12</v>
      </c>
      <c r="C26" s="1134">
        <f>+SUM(C11:C25)</f>
        <v>309259827.53417307</v>
      </c>
      <c r="D26" s="1134">
        <f>+SUM(D11:D25)</f>
        <v>83983850.916200429</v>
      </c>
      <c r="E26" s="1134">
        <f>+SUM(E11:E25)</f>
        <v>343677872.98238772</v>
      </c>
      <c r="F26" s="1134">
        <f>+SUM(F11:F25)</f>
        <v>495335041.13114119</v>
      </c>
      <c r="G26" s="1134">
        <f>+SUM(G11:G25)</f>
        <v>396206611.99304014</v>
      </c>
      <c r="H26" s="1135">
        <f>+G26/F26-1</f>
        <v>-0.2001239987216179</v>
      </c>
      <c r="I26" s="1129">
        <f>+F26/E26-1</f>
        <v>0.44127707970459107</v>
      </c>
      <c r="L26" s="1182"/>
      <c r="M26" s="1189" t="s">
        <v>775</v>
      </c>
      <c r="N26" s="298" t="s">
        <v>776</v>
      </c>
      <c r="O26" s="297">
        <v>2004</v>
      </c>
      <c r="P26" s="309">
        <v>68.2</v>
      </c>
      <c r="Q26" s="1175">
        <v>37786543.366674483</v>
      </c>
      <c r="R26" s="1175">
        <v>33309525.700263243</v>
      </c>
      <c r="S26" s="1473">
        <v>27474431.675275955</v>
      </c>
      <c r="T26" s="1190">
        <f t="shared" si="2"/>
        <v>-0.17517793791165193</v>
      </c>
    </row>
    <row r="27" spans="2:20" ht="15.75" thickBot="1" x14ac:dyDescent="0.3">
      <c r="B27" s="1136"/>
      <c r="C27" s="1137"/>
      <c r="D27" s="1137"/>
      <c r="E27" s="1137"/>
      <c r="F27" s="1137"/>
      <c r="G27" s="1149"/>
      <c r="H27" s="1138"/>
      <c r="I27" s="1139"/>
      <c r="L27" s="1182"/>
      <c r="M27" s="1189" t="s">
        <v>777</v>
      </c>
      <c r="N27" s="298" t="s">
        <v>778</v>
      </c>
      <c r="O27" s="297">
        <v>2004</v>
      </c>
      <c r="P27" s="309">
        <v>42.89</v>
      </c>
      <c r="Q27" s="1175"/>
      <c r="R27" s="1175">
        <v>20947882.07161716</v>
      </c>
      <c r="S27" s="1473">
        <v>17278275.286694802</v>
      </c>
      <c r="T27" s="1190">
        <f t="shared" si="2"/>
        <v>-0.17517793791165193</v>
      </c>
    </row>
    <row r="28" spans="2:20" s="1140" customFormat="1" ht="15.75" thickBot="1" x14ac:dyDescent="0.3">
      <c r="B28" s="1151" t="s">
        <v>742</v>
      </c>
      <c r="C28" s="1145">
        <v>255445062.51630402</v>
      </c>
      <c r="D28" s="1145">
        <v>71344715.55273293</v>
      </c>
      <c r="E28" s="1145">
        <v>287622996.20309246</v>
      </c>
      <c r="F28" s="1147">
        <v>408409903.1832608</v>
      </c>
      <c r="G28" s="1145">
        <v>326789778.06903696</v>
      </c>
      <c r="H28" s="1150">
        <f>+G28/F28-1</f>
        <v>-0.19984854548837772</v>
      </c>
      <c r="I28" s="1144">
        <f>+F28/E28-1</f>
        <v>0.41994871263659306</v>
      </c>
      <c r="L28" s="1182"/>
      <c r="M28" s="1189" t="s">
        <v>234</v>
      </c>
      <c r="N28" s="298" t="s">
        <v>779</v>
      </c>
      <c r="O28" s="297">
        <v>2004</v>
      </c>
      <c r="P28" s="309">
        <v>84.81</v>
      </c>
      <c r="Q28" s="1175">
        <v>28939816.533212133</v>
      </c>
      <c r="R28" s="1175">
        <v>41422006.959520906</v>
      </c>
      <c r="S28" s="1473">
        <v>34165785.196189933</v>
      </c>
      <c r="T28" s="1190">
        <f t="shared" si="2"/>
        <v>-0.17517793791165204</v>
      </c>
    </row>
    <row r="29" spans="2:20" s="1140" customFormat="1" ht="15.75" thickBot="1" x14ac:dyDescent="0.3">
      <c r="B29" s="1151" t="s">
        <v>743</v>
      </c>
      <c r="C29" s="1146">
        <v>53814765.017869063</v>
      </c>
      <c r="D29" s="1146">
        <v>12639135.363467503</v>
      </c>
      <c r="E29" s="1146">
        <v>56054876.779295258</v>
      </c>
      <c r="F29" s="1148">
        <v>86925137.947880417</v>
      </c>
      <c r="G29" s="1146">
        <v>66453900.381336562</v>
      </c>
      <c r="H29" s="1150">
        <f>+G29/F29-1</f>
        <v>-0.23550422869410037</v>
      </c>
      <c r="I29" s="1144">
        <f>+F29/E29-1</f>
        <v>0.55071499470296881</v>
      </c>
      <c r="L29" s="1182"/>
      <c r="M29" s="1189" t="s">
        <v>237</v>
      </c>
      <c r="N29" s="298" t="s">
        <v>780</v>
      </c>
      <c r="O29" s="297">
        <v>2003</v>
      </c>
      <c r="P29" s="309">
        <v>16.41</v>
      </c>
      <c r="Q29" s="1175">
        <v>5752657.6915120855</v>
      </c>
      <c r="R29" s="1175">
        <v>8014799.365708502</v>
      </c>
      <c r="S29" s="1473">
        <v>6610783.3400480701</v>
      </c>
      <c r="T29" s="1190">
        <f t="shared" si="2"/>
        <v>-0.17517793791165204</v>
      </c>
    </row>
    <row r="30" spans="2:20" s="1140" customFormat="1" ht="15.75" thickBot="1" x14ac:dyDescent="0.3">
      <c r="B30" s="893"/>
      <c r="C30" s="893"/>
      <c r="D30" s="893"/>
      <c r="E30" s="893"/>
      <c r="F30" s="893"/>
      <c r="G30" s="893"/>
      <c r="H30" s="893"/>
      <c r="I30" s="893"/>
      <c r="L30" s="1182"/>
      <c r="M30" s="1189" t="s">
        <v>240</v>
      </c>
      <c r="N30" s="298" t="s">
        <v>241</v>
      </c>
      <c r="O30" s="297">
        <v>2009</v>
      </c>
      <c r="P30" s="309">
        <v>96.84</v>
      </c>
      <c r="Q30" s="1681">
        <v>32605126.716392029</v>
      </c>
      <c r="R30" s="1681">
        <v>46631691.494128108</v>
      </c>
      <c r="S30" s="1684">
        <v>39245755.782732472</v>
      </c>
      <c r="T30" s="1678">
        <f>+S30/R30-1</f>
        <v>-0.15838875826165721</v>
      </c>
    </row>
    <row r="31" spans="2:20" ht="45.6" customHeight="1" thickBot="1" x14ac:dyDescent="0.3">
      <c r="B31" s="1155" t="s">
        <v>250</v>
      </c>
      <c r="C31" s="1153" t="s">
        <v>647</v>
      </c>
      <c r="D31" s="1153" t="s">
        <v>648</v>
      </c>
      <c r="E31" s="1153" t="s">
        <v>738</v>
      </c>
      <c r="F31" s="1153" t="s">
        <v>744</v>
      </c>
      <c r="G31" s="1153" t="s">
        <v>745</v>
      </c>
      <c r="H31" s="1156" t="s">
        <v>746</v>
      </c>
      <c r="I31" s="1156" t="s">
        <v>741</v>
      </c>
      <c r="L31" s="1182"/>
      <c r="M31" s="1189" t="s">
        <v>243</v>
      </c>
      <c r="N31" s="297" t="s">
        <v>244</v>
      </c>
      <c r="O31" s="297">
        <v>2009</v>
      </c>
      <c r="P31" s="309">
        <v>24.66</v>
      </c>
      <c r="Q31" s="1682"/>
      <c r="R31" s="1683"/>
      <c r="S31" s="1684"/>
      <c r="T31" s="1679" t="e">
        <f t="shared" si="2"/>
        <v>#DIV/0!</v>
      </c>
    </row>
    <row r="32" spans="2:20" ht="18" customHeight="1" x14ac:dyDescent="0.25">
      <c r="B32" s="1157" t="s">
        <v>245</v>
      </c>
      <c r="C32" s="1158"/>
      <c r="D32" s="1158">
        <v>2263204.5478261998</v>
      </c>
      <c r="E32" s="1158">
        <v>2272541.9264572496</v>
      </c>
      <c r="F32" s="1152">
        <v>2601529.9478261997</v>
      </c>
      <c r="G32" s="1466">
        <v>2263204.5478261998</v>
      </c>
      <c r="H32" s="1154">
        <f>+G32/F32-1</f>
        <v>-0.13004862784020599</v>
      </c>
      <c r="I32" s="1159">
        <f>+F32/E32-1</f>
        <v>0.14476653545478113</v>
      </c>
      <c r="L32" s="1182"/>
      <c r="M32" s="1189" t="s">
        <v>246</v>
      </c>
      <c r="N32" s="298" t="s">
        <v>247</v>
      </c>
      <c r="O32" s="297">
        <v>2012</v>
      </c>
      <c r="P32" s="309">
        <v>44</v>
      </c>
      <c r="Q32" s="1682"/>
      <c r="R32" s="1683"/>
      <c r="S32" s="1684"/>
      <c r="T32" s="1679" t="e">
        <f t="shared" si="2"/>
        <v>#DIV/0!</v>
      </c>
    </row>
    <row r="33" spans="2:21" x14ac:dyDescent="0.25">
      <c r="B33" s="1157" t="s">
        <v>255</v>
      </c>
      <c r="C33" s="1158">
        <v>20472444.355571598</v>
      </c>
      <c r="D33" s="1158"/>
      <c r="E33" s="1158">
        <v>17641747.575236522</v>
      </c>
      <c r="F33" s="1152">
        <v>22820280.178771608</v>
      </c>
      <c r="G33" s="1467">
        <v>20472444.355571598</v>
      </c>
      <c r="H33" s="1154">
        <f t="shared" ref="H33:H34" si="3">+G33/F33-1</f>
        <v>-0.10288374221557828</v>
      </c>
      <c r="I33" s="1159">
        <f t="shared" ref="I33:I34" si="4">+F33/E33-1</f>
        <v>0.2935385273737916</v>
      </c>
      <c r="L33" s="1182"/>
      <c r="M33" s="1189" t="s">
        <v>248</v>
      </c>
      <c r="N33" s="298" t="s">
        <v>249</v>
      </c>
      <c r="O33" s="297">
        <v>2012</v>
      </c>
      <c r="P33" s="309">
        <v>76.650000000000006</v>
      </c>
      <c r="Q33" s="1682"/>
      <c r="R33" s="1683"/>
      <c r="S33" s="1684"/>
      <c r="T33" s="1679" t="e">
        <f t="shared" si="2"/>
        <v>#DIV/0!</v>
      </c>
    </row>
    <row r="34" spans="2:21" ht="15.75" thickBot="1" x14ac:dyDescent="0.3">
      <c r="B34" s="1157" t="s">
        <v>256</v>
      </c>
      <c r="C34" s="1158">
        <v>19724812.193533372</v>
      </c>
      <c r="D34" s="1158"/>
      <c r="E34" s="1158">
        <v>16758019.313894842</v>
      </c>
      <c r="F34" s="1152">
        <v>22511338.180841379</v>
      </c>
      <c r="G34" s="1468">
        <v>18225503.240041375</v>
      </c>
      <c r="H34" s="1154">
        <f t="shared" si="3"/>
        <v>-0.19038561396796616</v>
      </c>
      <c r="I34" s="1159">
        <f t="shared" si="4"/>
        <v>0.3433173550633275</v>
      </c>
      <c r="L34" s="1182"/>
      <c r="M34" s="1189" t="s">
        <v>781</v>
      </c>
      <c r="N34" s="298" t="s">
        <v>782</v>
      </c>
      <c r="O34" s="297">
        <v>2020</v>
      </c>
      <c r="P34" s="309">
        <v>49.73</v>
      </c>
      <c r="Q34" s="1175"/>
      <c r="R34" s="1175">
        <v>24288602.830998398</v>
      </c>
      <c r="S34" s="1475">
        <v>20033775.47230899</v>
      </c>
      <c r="T34" s="1190">
        <f>+S34/R34-1</f>
        <v>-0.17517793791165182</v>
      </c>
      <c r="U34" s="893" t="s">
        <v>793</v>
      </c>
    </row>
    <row r="35" spans="2:21" ht="18.75" customHeight="1" thickBot="1" x14ac:dyDescent="0.3">
      <c r="B35" s="1133" t="s">
        <v>12</v>
      </c>
      <c r="C35" s="1134">
        <f>+SUM(C32:C34)</f>
        <v>40197256.549104974</v>
      </c>
      <c r="D35" s="1134">
        <f>+SUM(D32:D34)</f>
        <v>2263204.5478261998</v>
      </c>
      <c r="E35" s="1134">
        <f>+SUM(E32:E34)</f>
        <v>36672308.815588608</v>
      </c>
      <c r="F35" s="1134">
        <f>+SUM(F32:F34)</f>
        <v>47933148.307439186</v>
      </c>
      <c r="G35" s="1134">
        <f>+SUM(G32:G34)</f>
        <v>40961152.143439174</v>
      </c>
      <c r="H35" s="1135">
        <v>-0.11417333106114069</v>
      </c>
      <c r="I35" s="1160">
        <f>+F35/E35-1</f>
        <v>0.30706655390794046</v>
      </c>
      <c r="L35" s="1182"/>
      <c r="M35" s="1189" t="s">
        <v>783</v>
      </c>
      <c r="N35" s="298" t="s">
        <v>784</v>
      </c>
      <c r="O35" s="297">
        <v>2017</v>
      </c>
      <c r="P35" s="309">
        <v>38.07</v>
      </c>
      <c r="Q35" s="1175"/>
      <c r="R35" s="1175">
        <v>18593748.437082428</v>
      </c>
      <c r="S35" s="1475">
        <v>15336533.927826326</v>
      </c>
      <c r="T35" s="1190">
        <f t="shared" si="2"/>
        <v>-0.17517793791165204</v>
      </c>
      <c r="U35" s="893" t="s">
        <v>793</v>
      </c>
    </row>
    <row r="36" spans="2:21" ht="17.25" customHeight="1" thickBot="1" x14ac:dyDescent="0.3">
      <c r="L36" s="1182"/>
      <c r="M36" s="1191" t="s">
        <v>785</v>
      </c>
      <c r="N36" s="302" t="s">
        <v>786</v>
      </c>
      <c r="O36" s="301">
        <v>2017</v>
      </c>
      <c r="P36" s="307">
        <v>156.19</v>
      </c>
      <c r="Q36" s="1176"/>
      <c r="R36" s="1175">
        <v>76284674.767215759</v>
      </c>
      <c r="S36" s="1475">
        <v>62921282.747233883</v>
      </c>
      <c r="T36" s="1194">
        <f t="shared" si="2"/>
        <v>-0.17517793791165182</v>
      </c>
      <c r="U36" s="893" t="s">
        <v>793</v>
      </c>
    </row>
    <row r="37" spans="2:21" ht="46.9" customHeight="1" thickBot="1" x14ac:dyDescent="0.3">
      <c r="B37" s="1153" t="s">
        <v>261</v>
      </c>
      <c r="C37" s="1153" t="s">
        <v>649</v>
      </c>
      <c r="D37" s="1153" t="s">
        <v>650</v>
      </c>
      <c r="E37" s="1153" t="s">
        <v>651</v>
      </c>
      <c r="F37" s="1153" t="s">
        <v>748</v>
      </c>
      <c r="G37" s="1153" t="s">
        <v>749</v>
      </c>
      <c r="H37" s="1153" t="s">
        <v>750</v>
      </c>
      <c r="I37" s="1153" t="s">
        <v>751</v>
      </c>
      <c r="J37" s="1153" t="s">
        <v>741</v>
      </c>
      <c r="L37" s="1182"/>
      <c r="M37" s="1195" t="s">
        <v>787</v>
      </c>
      <c r="N37" s="1196" t="s">
        <v>788</v>
      </c>
      <c r="O37" s="1197">
        <v>2017</v>
      </c>
      <c r="P37" s="1198">
        <v>111.38</v>
      </c>
      <c r="Q37" s="1198"/>
      <c r="R37" s="1199">
        <v>54399046.517526679</v>
      </c>
      <c r="S37" s="1476">
        <v>44869533.724226326</v>
      </c>
      <c r="T37" s="1200">
        <f>+S37/R37-1</f>
        <v>-0.17517793791165193</v>
      </c>
      <c r="U37" s="893" t="s">
        <v>793</v>
      </c>
    </row>
    <row r="38" spans="2:21" ht="19.149999999999999" customHeight="1" thickBot="1" x14ac:dyDescent="0.3">
      <c r="B38" s="1498" t="s">
        <v>33</v>
      </c>
      <c r="C38" s="1486">
        <v>18093008.767502602</v>
      </c>
      <c r="D38" s="1463"/>
      <c r="E38" s="1486">
        <v>26546603.501304794</v>
      </c>
      <c r="F38" s="1158">
        <v>27564991.075971805</v>
      </c>
      <c r="G38" s="1158">
        <v>27759591.181279998</v>
      </c>
      <c r="H38" s="1464">
        <v>44639612.268807396</v>
      </c>
      <c r="I38" s="1154">
        <f>+H38/G38-1</f>
        <v>0.60807887901860158</v>
      </c>
      <c r="J38" s="1159">
        <f t="shared" ref="J38:J45" si="5">+H38/F38-1</f>
        <v>0.6194314065176465</v>
      </c>
      <c r="L38" s="1183"/>
      <c r="M38" s="1698" t="s">
        <v>12</v>
      </c>
      <c r="N38" s="1699"/>
      <c r="O38" s="1699"/>
      <c r="P38" s="1203">
        <v>1221.0800000000002</v>
      </c>
      <c r="Q38" s="1201">
        <f>+SUM(Q11:Q33)</f>
        <v>314435954.65320075</v>
      </c>
      <c r="R38" s="1201">
        <f>+SUM(R11:R37)</f>
        <v>634686135.95682037</v>
      </c>
      <c r="S38" s="1201">
        <f>+SUM(S11:S37)</f>
        <v>532108923.31673121</v>
      </c>
      <c r="T38" s="1202">
        <f>+S38/R38-1</f>
        <v>-0.1616188015284894</v>
      </c>
      <c r="U38" s="1175"/>
    </row>
    <row r="39" spans="2:21" x14ac:dyDescent="0.25">
      <c r="B39" s="1498" t="s">
        <v>272</v>
      </c>
      <c r="C39" s="1486">
        <v>3149681.1047364003</v>
      </c>
      <c r="D39" s="1463"/>
      <c r="E39" s="1463"/>
      <c r="F39" s="1158">
        <v>2507325.8110992005</v>
      </c>
      <c r="G39" s="1158">
        <v>0</v>
      </c>
      <c r="H39" s="1465">
        <v>3149681.1047364003</v>
      </c>
      <c r="I39" s="1154"/>
      <c r="J39" s="1159">
        <f t="shared" si="5"/>
        <v>0.25619139355311549</v>
      </c>
      <c r="L39" s="302"/>
      <c r="M39" s="1141"/>
      <c r="N39" s="1141"/>
      <c r="O39" s="1141"/>
      <c r="P39" s="307"/>
      <c r="Q39" s="307"/>
      <c r="R39" s="1142"/>
      <c r="S39" s="1142"/>
      <c r="T39" s="1143"/>
    </row>
    <row r="40" spans="2:21" x14ac:dyDescent="0.25">
      <c r="B40" s="1498" t="s">
        <v>34</v>
      </c>
      <c r="C40" s="1486">
        <v>15140572.941154193</v>
      </c>
      <c r="D40" s="1486">
        <v>9091935.0774996206</v>
      </c>
      <c r="E40" s="1486">
        <v>5855092.4206197709</v>
      </c>
      <c r="F40" s="1158">
        <v>22576755.172145333</v>
      </c>
      <c r="G40" s="1158">
        <v>16787180.7758362</v>
      </c>
      <c r="H40" s="1465">
        <v>30087600.439273581</v>
      </c>
      <c r="I40" s="1154">
        <f t="shared" ref="I40:I47" si="6">+H40/G40-1</f>
        <v>0.79229620750747309</v>
      </c>
      <c r="J40" s="1159">
        <f t="shared" si="5"/>
        <v>0.33268045872220608</v>
      </c>
      <c r="L40" s="1141"/>
      <c r="M40" s="1141"/>
      <c r="N40" s="1141"/>
      <c r="O40" s="1141"/>
      <c r="P40" s="307"/>
      <c r="Q40" s="307"/>
      <c r="R40" s="1142"/>
      <c r="S40" s="1142"/>
      <c r="T40" s="1143"/>
    </row>
    <row r="41" spans="2:21" x14ac:dyDescent="0.25">
      <c r="B41" s="1498" t="s">
        <v>221</v>
      </c>
      <c r="C41" s="1463"/>
      <c r="D41" s="1463"/>
      <c r="E41" s="1486">
        <v>7917797.3363252003</v>
      </c>
      <c r="F41" s="1158">
        <v>5651072.8711218843</v>
      </c>
      <c r="G41" s="1161">
        <v>8460364.4383252002</v>
      </c>
      <c r="H41" s="1465">
        <v>7917797.3363252003</v>
      </c>
      <c r="I41" s="1154">
        <f t="shared" si="6"/>
        <v>-6.4130464586393821E-2</v>
      </c>
      <c r="J41" s="1159">
        <f t="shared" si="5"/>
        <v>0.40111400381805939</v>
      </c>
      <c r="L41" s="1204"/>
      <c r="M41" s="1204"/>
      <c r="N41" s="1205"/>
      <c r="O41" s="1205"/>
      <c r="P41" s="1206"/>
      <c r="Q41" s="1206"/>
      <c r="R41" s="1207"/>
      <c r="S41" s="1207"/>
      <c r="T41" s="1208"/>
    </row>
    <row r="42" spans="2:21" x14ac:dyDescent="0.25">
      <c r="B42" s="1498" t="s">
        <v>36</v>
      </c>
      <c r="C42" s="1463"/>
      <c r="D42" s="1486">
        <v>1182682.9485038896</v>
      </c>
      <c r="E42" s="1486">
        <v>4196585.4631489115</v>
      </c>
      <c r="F42" s="1158">
        <v>5066399.1668661796</v>
      </c>
      <c r="G42" s="1158">
        <v>5625889.8216527998</v>
      </c>
      <c r="H42" s="1465">
        <v>5379268.4116528006</v>
      </c>
      <c r="I42" s="1154">
        <f t="shared" si="6"/>
        <v>-4.3836871644874376E-2</v>
      </c>
      <c r="J42" s="1159">
        <f t="shared" si="5"/>
        <v>6.1753769192281371E-2</v>
      </c>
      <c r="L42" s="311"/>
    </row>
    <row r="43" spans="2:21" ht="15.75" thickBot="1" x14ac:dyDescent="0.3">
      <c r="B43" s="1498" t="s">
        <v>236</v>
      </c>
      <c r="C43" s="1463"/>
      <c r="D43" s="1486">
        <v>147410.97308251241</v>
      </c>
      <c r="E43" s="1486">
        <v>1723388.6714942877</v>
      </c>
      <c r="F43" s="1158">
        <v>1934117.1114495259</v>
      </c>
      <c r="G43" s="1158">
        <v>1969448.2085768001</v>
      </c>
      <c r="H43" s="1465">
        <v>1870799.6445768001</v>
      </c>
      <c r="I43" s="1154">
        <f t="shared" si="6"/>
        <v>-5.0089443109188059E-2</v>
      </c>
      <c r="J43" s="1159">
        <f t="shared" si="5"/>
        <v>-3.2737142181257339E-2</v>
      </c>
      <c r="L43" s="899" t="s">
        <v>254</v>
      </c>
    </row>
    <row r="44" spans="2:21" ht="17.25" customHeight="1" thickBot="1" x14ac:dyDescent="0.3">
      <c r="B44" s="1498" t="s">
        <v>275</v>
      </c>
      <c r="C44" s="1463"/>
      <c r="D44" s="1486">
        <v>828218.81634660007</v>
      </c>
      <c r="E44" s="1463"/>
      <c r="F44" s="1158">
        <v>1736434.7500500004</v>
      </c>
      <c r="G44" s="1158">
        <v>828218.81634660007</v>
      </c>
      <c r="H44" s="1465">
        <v>828218.81634660007</v>
      </c>
      <c r="I44" s="1154">
        <f t="shared" si="6"/>
        <v>0</v>
      </c>
      <c r="J44" s="1159">
        <f t="shared" si="5"/>
        <v>-0.52303487572870122</v>
      </c>
      <c r="Q44" s="1693" t="s">
        <v>44</v>
      </c>
      <c r="R44" s="1694"/>
      <c r="S44" s="1695"/>
      <c r="T44" s="1177"/>
    </row>
    <row r="45" spans="2:21" ht="20.45" customHeight="1" thickBot="1" x14ac:dyDescent="0.3">
      <c r="B45" s="1498" t="s">
        <v>230</v>
      </c>
      <c r="C45" s="1486">
        <v>4825897.6157364016</v>
      </c>
      <c r="D45" s="1463"/>
      <c r="E45" s="1463"/>
      <c r="F45" s="1158">
        <v>4095974.6224488001</v>
      </c>
      <c r="G45" s="1158">
        <v>5832112.9685363993</v>
      </c>
      <c r="H45" s="1465">
        <v>4825897.6157364016</v>
      </c>
      <c r="I45" s="1154">
        <f t="shared" si="6"/>
        <v>-0.17253015471895305</v>
      </c>
      <c r="J45" s="1159">
        <f t="shared" si="5"/>
        <v>0.1782049598860096</v>
      </c>
      <c r="L45" s="1178"/>
      <c r="M45" s="1696" t="s">
        <v>794</v>
      </c>
      <c r="N45" s="1697"/>
      <c r="O45" s="1184" t="s">
        <v>195</v>
      </c>
      <c r="P45" s="1184" t="s">
        <v>196</v>
      </c>
      <c r="Q45" s="1184" t="s">
        <v>789</v>
      </c>
      <c r="R45" s="1184" t="s">
        <v>790</v>
      </c>
      <c r="S45" s="1184" t="s">
        <v>791</v>
      </c>
      <c r="T45" s="1184" t="s">
        <v>792</v>
      </c>
    </row>
    <row r="46" spans="2:21" ht="16.149999999999999" customHeight="1" thickBot="1" x14ac:dyDescent="0.3">
      <c r="B46" s="1498" t="s">
        <v>747</v>
      </c>
      <c r="C46" s="1486">
        <v>4825897.6157364016</v>
      </c>
      <c r="D46" s="1463"/>
      <c r="E46" s="1463"/>
      <c r="F46" s="1158"/>
      <c r="G46" s="1158">
        <v>5832112.9685363993</v>
      </c>
      <c r="H46" s="1465">
        <v>4825897.6157364016</v>
      </c>
      <c r="I46" s="1154">
        <f t="shared" si="6"/>
        <v>-0.17253015471895305</v>
      </c>
      <c r="J46" s="1159"/>
      <c r="L46" s="1216"/>
      <c r="M46" s="1191" t="s">
        <v>257</v>
      </c>
      <c r="N46" s="302" t="s">
        <v>258</v>
      </c>
      <c r="O46" s="900">
        <v>1986</v>
      </c>
      <c r="P46" s="900">
        <v>24.17</v>
      </c>
      <c r="Q46" s="1211">
        <v>5128803.6307843197</v>
      </c>
      <c r="R46" s="1211">
        <v>5368310.67235603</v>
      </c>
      <c r="S46" s="1469">
        <v>5150857.9506010301</v>
      </c>
      <c r="T46" s="1131">
        <f>+S46/R46-1</f>
        <v>-4.0506732010642921E-2</v>
      </c>
    </row>
    <row r="47" spans="2:21" ht="15.75" thickBot="1" x14ac:dyDescent="0.3">
      <c r="B47" s="1133" t="s">
        <v>12</v>
      </c>
      <c r="C47" s="1134">
        <f>+SUM(C38:C46)</f>
        <v>46035058.044865996</v>
      </c>
      <c r="D47" s="1134">
        <f t="shared" ref="D47:H47" si="7">+SUM(D38:D46)</f>
        <v>11250247.815432623</v>
      </c>
      <c r="E47" s="1134">
        <f t="shared" si="7"/>
        <v>46239467.392892972</v>
      </c>
      <c r="F47" s="1134">
        <f t="shared" si="7"/>
        <v>71133070.581152722</v>
      </c>
      <c r="G47" s="1134">
        <f t="shared" si="7"/>
        <v>73094919.17909041</v>
      </c>
      <c r="H47" s="1134">
        <f t="shared" si="7"/>
        <v>103524773.25319158</v>
      </c>
      <c r="I47" s="1135">
        <f t="shared" si="6"/>
        <v>0.41630600889707181</v>
      </c>
      <c r="J47" s="1160">
        <f>+H47/F47-1</f>
        <v>0.45536769898165042</v>
      </c>
      <c r="L47" s="1181" t="s">
        <v>218</v>
      </c>
      <c r="M47" s="1191" t="s">
        <v>259</v>
      </c>
      <c r="N47" s="302" t="s">
        <v>260</v>
      </c>
      <c r="O47" s="900">
        <v>1986</v>
      </c>
      <c r="P47" s="900">
        <v>29.95</v>
      </c>
      <c r="Q47" s="1211">
        <v>5128803.6307843197</v>
      </c>
      <c r="R47" s="1211">
        <v>6652085.4214755101</v>
      </c>
      <c r="S47" s="1470">
        <v>6382631.1799958963</v>
      </c>
      <c r="T47" s="1131">
        <f t="shared" ref="T47:T48" si="8">+S47/R47-1</f>
        <v>-4.0506732010643032E-2</v>
      </c>
    </row>
    <row r="48" spans="2:21" x14ac:dyDescent="0.25">
      <c r="L48" s="1181" t="s">
        <v>267</v>
      </c>
      <c r="M48" s="1191" t="s">
        <v>268</v>
      </c>
      <c r="N48" s="302" t="s">
        <v>269</v>
      </c>
      <c r="O48" s="900">
        <v>1986</v>
      </c>
      <c r="P48" s="901">
        <v>9.81</v>
      </c>
      <c r="Q48" s="1211">
        <v>1842570.1932817737</v>
      </c>
      <c r="R48" s="1211">
        <v>2178863.3717754511</v>
      </c>
      <c r="S48" s="1470">
        <v>2090604.7370871375</v>
      </c>
      <c r="T48" s="1131">
        <f t="shared" si="8"/>
        <v>-4.0506732010642699E-2</v>
      </c>
    </row>
    <row r="49" spans="2:20" ht="15.75" thickBot="1" x14ac:dyDescent="0.3">
      <c r="L49" s="1180"/>
      <c r="M49" s="1191" t="s">
        <v>270</v>
      </c>
      <c r="N49" s="302" t="s">
        <v>271</v>
      </c>
      <c r="O49" s="900">
        <v>2011</v>
      </c>
      <c r="P49" s="901">
        <v>13.51</v>
      </c>
      <c r="Q49" s="1211">
        <v>2849335.3504357324</v>
      </c>
      <c r="R49" s="1211">
        <v>3762562.6964360769</v>
      </c>
      <c r="S49" s="1471">
        <v>3126948.7909317156</v>
      </c>
      <c r="T49" s="1131">
        <f>+S49/R49-1</f>
        <v>-0.16893111338886624</v>
      </c>
    </row>
    <row r="50" spans="2:20" ht="15.75" thickBot="1" x14ac:dyDescent="0.3">
      <c r="B50" s="893" t="s">
        <v>752</v>
      </c>
      <c r="D50" s="913">
        <v>66453900.381336555</v>
      </c>
      <c r="E50" s="893" t="s">
        <v>753</v>
      </c>
      <c r="H50" s="904"/>
      <c r="L50" s="1217"/>
      <c r="M50" s="1703" t="s">
        <v>12</v>
      </c>
      <c r="N50" s="1704"/>
      <c r="O50" s="1705"/>
      <c r="P50" s="1212">
        <v>78.58</v>
      </c>
      <c r="Q50" s="1213">
        <f>SUM(Q46:Q49)</f>
        <v>14949512.805286145</v>
      </c>
      <c r="R50" s="1213">
        <f>+SUM(R46:R49)</f>
        <v>17961822.162043069</v>
      </c>
      <c r="S50" s="1214">
        <f>+SUM(S46:S49)</f>
        <v>16751042.658615779</v>
      </c>
      <c r="T50" s="1215">
        <f>+S50/R50-1</f>
        <v>-6.7408500791523718E-2</v>
      </c>
    </row>
    <row r="51" spans="2:20" ht="15.75" thickBot="1" x14ac:dyDescent="0.3">
      <c r="C51" s="934"/>
    </row>
    <row r="52" spans="2:20" ht="48" customHeight="1" thickBot="1" x14ac:dyDescent="0.3">
      <c r="B52" s="893" t="s">
        <v>754</v>
      </c>
      <c r="C52" s="934"/>
      <c r="D52" s="935"/>
      <c r="L52" s="899" t="s">
        <v>254</v>
      </c>
      <c r="R52" s="1675" t="s">
        <v>44</v>
      </c>
      <c r="S52" s="1676"/>
    </row>
    <row r="53" spans="2:20" ht="30.75" thickBot="1" x14ac:dyDescent="0.3">
      <c r="M53" s="1706" t="s">
        <v>803</v>
      </c>
      <c r="N53" s="1707"/>
      <c r="O53" s="1184" t="s">
        <v>195</v>
      </c>
      <c r="P53" s="1184" t="s">
        <v>196</v>
      </c>
      <c r="Q53" s="1184" t="s">
        <v>789</v>
      </c>
      <c r="R53" s="1184" t="s">
        <v>790</v>
      </c>
      <c r="S53" s="1184" t="s">
        <v>791</v>
      </c>
      <c r="T53" s="1184" t="s">
        <v>792</v>
      </c>
    </row>
    <row r="54" spans="2:20" ht="15.75" thickBot="1" x14ac:dyDescent="0.3">
      <c r="L54" s="1178"/>
      <c r="M54" s="1227" t="s">
        <v>276</v>
      </c>
      <c r="N54" s="1228" t="s">
        <v>277</v>
      </c>
      <c r="O54" s="1229">
        <v>2016</v>
      </c>
      <c r="P54" s="1229">
        <v>47.81</v>
      </c>
      <c r="Q54" s="1230">
        <v>12186808.929822883</v>
      </c>
      <c r="R54" s="1231">
        <v>17761874.453666452</v>
      </c>
      <c r="S54" s="1472">
        <v>13841311.940392131</v>
      </c>
      <c r="T54" s="1232">
        <f>+S54/R54-1</f>
        <v>-0.22072909723022105</v>
      </c>
    </row>
    <row r="55" spans="2:20" x14ac:dyDescent="0.25">
      <c r="B55" s="1166"/>
      <c r="C55" s="1167" t="s">
        <v>755</v>
      </c>
      <c r="D55" s="1167" t="s">
        <v>749</v>
      </c>
      <c r="E55" s="1168" t="s">
        <v>756</v>
      </c>
      <c r="F55" s="1162" t="s">
        <v>757</v>
      </c>
      <c r="L55" s="1216"/>
      <c r="M55" s="1191" t="s">
        <v>279</v>
      </c>
      <c r="N55" s="1140" t="s">
        <v>280</v>
      </c>
      <c r="O55" s="900">
        <v>2004</v>
      </c>
      <c r="P55" s="900">
        <v>7.27</v>
      </c>
      <c r="Q55" s="1218">
        <v>1957816.7178985234</v>
      </c>
      <c r="R55" s="1219">
        <v>3076679.707810156</v>
      </c>
      <c r="S55" s="1473">
        <v>2474013.4271548484</v>
      </c>
      <c r="T55" s="1192">
        <f t="shared" ref="T55:T61" si="9">+S55/R55-1</f>
        <v>-0.19588203449499098</v>
      </c>
    </row>
    <row r="56" spans="2:20" x14ac:dyDescent="0.25">
      <c r="B56" s="1169" t="s">
        <v>292</v>
      </c>
      <c r="C56" s="1164">
        <f>+Q70</f>
        <v>368338574.57154536</v>
      </c>
      <c r="D56" s="1164">
        <f t="shared" ref="D56:E56" si="10">+R70</f>
        <v>707836834.27229881</v>
      </c>
      <c r="E56" s="1170">
        <f t="shared" si="10"/>
        <v>592759843.64811218</v>
      </c>
      <c r="F56" s="1163">
        <f>+E56/D56-1</f>
        <v>-0.16257558953186302</v>
      </c>
      <c r="L56" s="1181" t="s">
        <v>278</v>
      </c>
      <c r="M56" s="1191" t="s">
        <v>795</v>
      </c>
      <c r="N56" s="1140" t="s">
        <v>796</v>
      </c>
      <c r="O56" s="900">
        <v>1972</v>
      </c>
      <c r="P56" s="901">
        <v>22.85</v>
      </c>
      <c r="Q56" s="1700">
        <v>17051952.05911617</v>
      </c>
      <c r="R56" s="1701">
        <v>23597752.476959329</v>
      </c>
      <c r="S56" s="1684">
        <v>18975376.71226332</v>
      </c>
      <c r="T56" s="1691">
        <f t="shared" si="9"/>
        <v>-0.19588203449499109</v>
      </c>
    </row>
    <row r="57" spans="2:20" x14ac:dyDescent="0.25">
      <c r="B57" s="1169" t="s">
        <v>295</v>
      </c>
      <c r="C57" s="1164">
        <f>+Q80</f>
        <v>6933848.1310749892</v>
      </c>
      <c r="D57" s="1164">
        <f t="shared" ref="D57:E57" si="11">+R80</f>
        <v>9685985.5702508613</v>
      </c>
      <c r="E57" s="1164">
        <f t="shared" si="11"/>
        <v>7309323.2731987555</v>
      </c>
      <c r="F57" s="1163">
        <f t="shared" ref="F57:F60" si="12">+E57/D57-1</f>
        <v>-0.2453712407286347</v>
      </c>
      <c r="L57" s="1181" t="s">
        <v>222</v>
      </c>
      <c r="M57" s="1191" t="s">
        <v>797</v>
      </c>
      <c r="N57" s="1140" t="s">
        <v>798</v>
      </c>
      <c r="O57" s="900">
        <v>1972</v>
      </c>
      <c r="P57" s="901">
        <v>32.08</v>
      </c>
      <c r="Q57" s="1683"/>
      <c r="R57" s="1702"/>
      <c r="S57" s="1684"/>
      <c r="T57" s="1692" t="e">
        <f t="shared" si="9"/>
        <v>#DIV/0!</v>
      </c>
    </row>
    <row r="58" spans="2:20" x14ac:dyDescent="0.25">
      <c r="B58" s="1169" t="s">
        <v>298</v>
      </c>
      <c r="C58" s="1164">
        <f>+E26</f>
        <v>343677872.98238772</v>
      </c>
      <c r="D58" s="1164">
        <f t="shared" ref="D58:E58" si="13">+F26</f>
        <v>495335041.13114119</v>
      </c>
      <c r="E58" s="1164">
        <f t="shared" si="13"/>
        <v>396206611.99304014</v>
      </c>
      <c r="F58" s="1163">
        <f t="shared" si="12"/>
        <v>-0.2001239987216179</v>
      </c>
      <c r="L58" s="1180"/>
      <c r="M58" s="1191" t="s">
        <v>799</v>
      </c>
      <c r="N58" s="1140" t="s">
        <v>800</v>
      </c>
      <c r="O58" s="900">
        <v>1972</v>
      </c>
      <c r="P58" s="901">
        <v>31.18</v>
      </c>
      <c r="Q58" s="1683"/>
      <c r="R58" s="1702"/>
      <c r="S58" s="1684"/>
      <c r="T58" s="1692" t="e">
        <f t="shared" si="9"/>
        <v>#DIV/0!</v>
      </c>
    </row>
    <row r="59" spans="2:20" x14ac:dyDescent="0.25">
      <c r="B59" s="1169" t="s">
        <v>301</v>
      </c>
      <c r="C59" s="1164">
        <f>+F47</f>
        <v>71133070.581152722</v>
      </c>
      <c r="D59" s="1164">
        <f t="shared" ref="D59:E59" si="14">+G47</f>
        <v>73094919.17909041</v>
      </c>
      <c r="E59" s="1164">
        <f t="shared" si="14"/>
        <v>103524773.25319158</v>
      </c>
      <c r="F59" s="1163">
        <f t="shared" si="12"/>
        <v>0.41630600889707181</v>
      </c>
      <c r="L59" s="1225"/>
      <c r="M59" s="1191" t="s">
        <v>801</v>
      </c>
      <c r="N59" s="1140" t="s">
        <v>802</v>
      </c>
      <c r="O59" s="900">
        <v>1972</v>
      </c>
      <c r="P59" s="901">
        <v>25.41</v>
      </c>
      <c r="Q59" s="1683"/>
      <c r="R59" s="1702"/>
      <c r="S59" s="1684"/>
      <c r="T59" s="1233"/>
    </row>
    <row r="60" spans="2:20" ht="15.75" thickBot="1" x14ac:dyDescent="0.3">
      <c r="B60" s="1169" t="s">
        <v>304</v>
      </c>
      <c r="C60" s="1165">
        <f>+E35</f>
        <v>36672308.815588608</v>
      </c>
      <c r="D60" s="1165">
        <f t="shared" ref="D60:E60" si="15">+F35</f>
        <v>47933148.307439186</v>
      </c>
      <c r="E60" s="1165">
        <f t="shared" si="15"/>
        <v>40961152.143439174</v>
      </c>
      <c r="F60" s="1163">
        <f t="shared" si="12"/>
        <v>-0.14545249811846728</v>
      </c>
      <c r="L60" s="1225"/>
      <c r="M60" s="1191" t="s">
        <v>281</v>
      </c>
      <c r="N60" s="1140" t="s">
        <v>282</v>
      </c>
      <c r="O60" s="900">
        <v>1979</v>
      </c>
      <c r="P60" s="901">
        <v>25</v>
      </c>
      <c r="Q60" s="1218">
        <v>6537987.6232955391</v>
      </c>
      <c r="R60" s="1219">
        <v>9406623.3249703962</v>
      </c>
      <c r="S60" s="1474">
        <v>7330307.850464941</v>
      </c>
      <c r="T60" s="1192">
        <f t="shared" si="9"/>
        <v>-0.22072909723022094</v>
      </c>
    </row>
    <row r="61" spans="2:20" ht="15.75" thickBot="1" x14ac:dyDescent="0.3">
      <c r="B61" s="1171" t="s">
        <v>12</v>
      </c>
      <c r="C61" s="1173">
        <f>+SUM(C56:C60)</f>
        <v>826755675.08174932</v>
      </c>
      <c r="D61" s="1173">
        <f>+SUM(D56:D60)</f>
        <v>1333885928.4602206</v>
      </c>
      <c r="E61" s="1173">
        <f>+SUM(E56:E60)</f>
        <v>1140761704.3109818</v>
      </c>
      <c r="F61" s="1163"/>
      <c r="L61" s="1226"/>
      <c r="M61" s="1703" t="s">
        <v>12</v>
      </c>
      <c r="N61" s="1704"/>
      <c r="O61" s="1705"/>
      <c r="P61" s="1221">
        <f>SUM(P54:P60)</f>
        <v>191.6</v>
      </c>
      <c r="Q61" s="1222">
        <f t="shared" ref="Q61:S61" si="16">SUM(Q54:Q60)</f>
        <v>37734565.330133118</v>
      </c>
      <c r="R61" s="1222">
        <f t="shared" si="16"/>
        <v>53842929.963406332</v>
      </c>
      <c r="S61" s="1222">
        <f t="shared" si="16"/>
        <v>42621009.930275239</v>
      </c>
      <c r="T61" s="1234">
        <f t="shared" si="9"/>
        <v>-0.20841956484830837</v>
      </c>
    </row>
    <row r="62" spans="2:20" ht="15.75" customHeight="1" thickBot="1" x14ac:dyDescent="0.3">
      <c r="B62" s="1172"/>
      <c r="C62" s="1172"/>
      <c r="D62" s="1174">
        <f>+D61/C61-1</f>
        <v>0.613397970722519</v>
      </c>
      <c r="E62" s="1174">
        <f>+E61/D61-1</f>
        <v>-0.14478316325907492</v>
      </c>
      <c r="F62" s="1163"/>
      <c r="L62" s="899"/>
      <c r="M62" s="1223"/>
      <c r="N62" s="1223"/>
      <c r="O62" s="1223"/>
      <c r="P62" s="1224"/>
      <c r="Q62" s="1137"/>
      <c r="R62" s="1137"/>
      <c r="S62" s="1137"/>
      <c r="T62" s="1220"/>
    </row>
    <row r="63" spans="2:20" ht="15.75" thickBot="1" x14ac:dyDescent="0.3">
      <c r="D63" s="905"/>
      <c r="E63" s="905"/>
      <c r="F63" s="905"/>
      <c r="L63" s="899"/>
      <c r="M63" s="1223"/>
      <c r="N63" s="1223"/>
      <c r="O63" s="1223"/>
      <c r="P63" s="1224"/>
      <c r="Q63" s="1137"/>
      <c r="R63" s="1137"/>
      <c r="S63" s="1137"/>
      <c r="T63" s="1220"/>
    </row>
    <row r="64" spans="2:20" ht="15.75" thickBot="1" x14ac:dyDescent="0.3">
      <c r="D64" s="905"/>
      <c r="E64" s="905"/>
      <c r="F64" s="905"/>
      <c r="L64" s="899" t="s">
        <v>254</v>
      </c>
      <c r="R64" s="1675" t="s">
        <v>44</v>
      </c>
      <c r="S64" s="1676"/>
    </row>
    <row r="65" spans="2:20" ht="30.75" thickBot="1" x14ac:dyDescent="0.3">
      <c r="D65" s="905"/>
      <c r="E65" s="905"/>
      <c r="F65" s="905"/>
      <c r="L65" s="1178"/>
      <c r="M65" s="1706" t="s">
        <v>804</v>
      </c>
      <c r="N65" s="1707"/>
      <c r="O65" s="1184" t="s">
        <v>195</v>
      </c>
      <c r="P65" s="1184" t="s">
        <v>196</v>
      </c>
      <c r="Q65" s="1184" t="s">
        <v>789</v>
      </c>
      <c r="R65" s="1184" t="s">
        <v>790</v>
      </c>
      <c r="S65" s="1184" t="s">
        <v>791</v>
      </c>
      <c r="T65" s="1184" t="s">
        <v>792</v>
      </c>
    </row>
    <row r="66" spans="2:20" x14ac:dyDescent="0.25">
      <c r="B66" s="907"/>
      <c r="C66" s="908"/>
      <c r="L66" s="1181" t="s">
        <v>278</v>
      </c>
      <c r="M66" s="1239" t="s">
        <v>285</v>
      </c>
      <c r="N66" s="1237" t="s">
        <v>286</v>
      </c>
      <c r="O66" s="1229">
        <v>1976</v>
      </c>
      <c r="P66" s="1229">
        <v>0.8</v>
      </c>
      <c r="Q66" s="1230">
        <v>180545.05660554193</v>
      </c>
      <c r="R66" s="1238">
        <v>272517.95196508185</v>
      </c>
      <c r="S66" s="1469">
        <v>205439.50442595445</v>
      </c>
      <c r="T66" s="1232">
        <f>+S66/R66-1</f>
        <v>-0.24614322489742724</v>
      </c>
    </row>
    <row r="67" spans="2:20" ht="15.75" thickBot="1" x14ac:dyDescent="0.3">
      <c r="B67" s="909"/>
      <c r="C67" s="909"/>
      <c r="L67" s="1181" t="s">
        <v>267</v>
      </c>
      <c r="M67" s="301" t="s">
        <v>290</v>
      </c>
      <c r="N67" s="893" t="s">
        <v>291</v>
      </c>
      <c r="O67" s="900">
        <v>2008</v>
      </c>
      <c r="P67" s="900">
        <v>0.8</v>
      </c>
      <c r="Q67" s="1218">
        <v>1037996.7263197587</v>
      </c>
      <c r="R67" s="897">
        <v>1073428.2380640004</v>
      </c>
      <c r="S67" s="1471">
        <v>1073428.2380640004</v>
      </c>
      <c r="T67" s="1192">
        <f t="shared" ref="T67:T68" si="17">+S67/R67-1</f>
        <v>0</v>
      </c>
    </row>
    <row r="68" spans="2:20" ht="15.75" thickBot="1" x14ac:dyDescent="0.3">
      <c r="B68" s="909"/>
      <c r="C68" s="909"/>
      <c r="L68" s="1226"/>
      <c r="M68" s="1704" t="s">
        <v>12</v>
      </c>
      <c r="N68" s="1704"/>
      <c r="O68" s="1705"/>
      <c r="P68" s="1212">
        <f>SUM(P66:P67)</f>
        <v>1.6</v>
      </c>
      <c r="Q68" s="1235">
        <f>SUM(Q66:Q67)</f>
        <v>1218541.7829253005</v>
      </c>
      <c r="R68" s="1235">
        <f>SUM(R66:R67)</f>
        <v>1345946.1900290824</v>
      </c>
      <c r="S68" s="1213">
        <f>+SUM(S66:S67)</f>
        <v>1278867.7424899549</v>
      </c>
      <c r="T68" s="1236">
        <f t="shared" si="17"/>
        <v>-4.9837391744225745E-2</v>
      </c>
    </row>
    <row r="69" spans="2:20" x14ac:dyDescent="0.25">
      <c r="B69" s="909"/>
      <c r="C69" s="909"/>
    </row>
    <row r="70" spans="2:20" x14ac:dyDescent="0.25">
      <c r="B70" s="909"/>
      <c r="C70" s="909"/>
      <c r="L70" s="1240" t="s">
        <v>652</v>
      </c>
      <c r="M70" s="1241"/>
      <c r="N70" s="1242" t="s">
        <v>12</v>
      </c>
      <c r="O70" s="1241"/>
      <c r="P70" s="1241"/>
      <c r="Q70" s="1209">
        <f>SUM(Q38+Q50+Q61+Q68)</f>
        <v>368338574.57154536</v>
      </c>
      <c r="R70" s="1209">
        <f>SUM(R38+R50+R61+R68)</f>
        <v>707836834.27229881</v>
      </c>
      <c r="S70" s="1209">
        <f>SUM(S38+S50+S61+S68)</f>
        <v>592759843.64811218</v>
      </c>
      <c r="T70" s="1210">
        <f>+S70/R70-1</f>
        <v>-0.16257558953186302</v>
      </c>
    </row>
    <row r="71" spans="2:20" x14ac:dyDescent="0.25">
      <c r="B71" s="909"/>
      <c r="C71" s="909"/>
      <c r="L71" s="899" t="s">
        <v>254</v>
      </c>
    </row>
    <row r="72" spans="2:20" x14ac:dyDescent="0.25">
      <c r="R72" s="904"/>
      <c r="S72" s="904"/>
    </row>
    <row r="74" spans="2:20" x14ac:dyDescent="0.25">
      <c r="L74" s="1140"/>
      <c r="R74" s="1677" t="s">
        <v>44</v>
      </c>
      <c r="S74" s="1677"/>
    </row>
    <row r="75" spans="2:20" ht="30.75" thickBot="1" x14ac:dyDescent="0.3">
      <c r="L75" s="895"/>
      <c r="M75" s="895"/>
      <c r="N75" s="895"/>
      <c r="O75" s="896" t="s">
        <v>195</v>
      </c>
      <c r="P75" s="896" t="s">
        <v>196</v>
      </c>
      <c r="Q75" s="896" t="s">
        <v>789</v>
      </c>
      <c r="R75" s="896" t="s">
        <v>790</v>
      </c>
      <c r="S75" s="896" t="s">
        <v>791</v>
      </c>
      <c r="T75" s="896" t="s">
        <v>792</v>
      </c>
    </row>
    <row r="76" spans="2:20" x14ac:dyDescent="0.25">
      <c r="L76" s="303" t="s">
        <v>278</v>
      </c>
      <c r="M76" s="301" t="s">
        <v>293</v>
      </c>
      <c r="N76" s="893" t="s">
        <v>294</v>
      </c>
      <c r="O76" s="900">
        <v>1979</v>
      </c>
      <c r="P76" s="906">
        <v>6.18</v>
      </c>
      <c r="Q76" s="1218">
        <v>1037996.7263197587</v>
      </c>
      <c r="R76" s="897">
        <v>1656778.0466136259</v>
      </c>
      <c r="S76" s="1469">
        <v>1250252.3617040773</v>
      </c>
      <c r="T76" s="898">
        <f>+S76/R76-1</f>
        <v>-0.24537124072863437</v>
      </c>
    </row>
    <row r="77" spans="2:20" x14ac:dyDescent="0.25">
      <c r="L77" s="303" t="s">
        <v>267</v>
      </c>
      <c r="M77" s="301" t="s">
        <v>296</v>
      </c>
      <c r="N77" s="893" t="s">
        <v>297</v>
      </c>
      <c r="O77" s="900">
        <v>1979</v>
      </c>
      <c r="P77" s="906">
        <v>1.7</v>
      </c>
      <c r="Q77" s="1218">
        <v>362898.05802177201</v>
      </c>
      <c r="R77" s="897">
        <v>455748.00635002682</v>
      </c>
      <c r="S77" s="1470">
        <v>343920.55257231899</v>
      </c>
      <c r="T77" s="898">
        <f t="shared" ref="T77:T80" si="18">+S77/R77-1</f>
        <v>-0.24537124072863481</v>
      </c>
    </row>
    <row r="78" spans="2:20" x14ac:dyDescent="0.25">
      <c r="L78" s="903"/>
      <c r="M78" s="301" t="s">
        <v>299</v>
      </c>
      <c r="N78" s="893" t="s">
        <v>300</v>
      </c>
      <c r="O78" s="900">
        <v>1982</v>
      </c>
      <c r="P78" s="906">
        <v>0.5</v>
      </c>
      <c r="Q78" s="1218">
        <v>89482.47640687578</v>
      </c>
      <c r="R78" s="897">
        <v>134043.53127941961</v>
      </c>
      <c r="S78" s="1470">
        <v>101153.10369774089</v>
      </c>
      <c r="T78" s="898">
        <f t="shared" si="18"/>
        <v>-0.24537124072863448</v>
      </c>
    </row>
    <row r="79" spans="2:20" ht="15.75" thickBot="1" x14ac:dyDescent="0.3">
      <c r="L79" s="903"/>
      <c r="M79" s="301" t="s">
        <v>302</v>
      </c>
      <c r="N79" s="893" t="s">
        <v>303</v>
      </c>
      <c r="O79" s="900">
        <v>1988</v>
      </c>
      <c r="P79" s="906">
        <v>27.75</v>
      </c>
      <c r="Q79" s="1218">
        <v>5443470.8703265833</v>
      </c>
      <c r="R79" s="897">
        <v>7439415.9860077882</v>
      </c>
      <c r="S79" s="1471">
        <v>5613997.2552246181</v>
      </c>
      <c r="T79" s="898">
        <f t="shared" si="18"/>
        <v>-0.2453712407286347</v>
      </c>
    </row>
    <row r="80" spans="2:20" x14ac:dyDescent="0.25">
      <c r="L80" s="1243" t="s">
        <v>653</v>
      </c>
      <c r="M80" s="1244"/>
      <c r="N80" s="1245" t="s">
        <v>12</v>
      </c>
      <c r="O80" s="1244"/>
      <c r="P80" s="1248">
        <f>SUM(P76:P79)</f>
        <v>36.129999999999995</v>
      </c>
      <c r="Q80" s="1246">
        <f>SUM(Q76:Q79)</f>
        <v>6933848.1310749892</v>
      </c>
      <c r="R80" s="1247">
        <f>SUM(R76:R79)</f>
        <v>9685985.5702508613</v>
      </c>
      <c r="S80" s="1247">
        <f>+SUM(S76:S79)</f>
        <v>7309323.2731987555</v>
      </c>
      <c r="T80" s="1249">
        <f t="shared" si="18"/>
        <v>-0.2453712407286347</v>
      </c>
    </row>
    <row r="82" spans="12:19" ht="15.75" thickBot="1" x14ac:dyDescent="0.3"/>
    <row r="83" spans="12:19" ht="15.75" thickBot="1" x14ac:dyDescent="0.3">
      <c r="R83" s="1251" t="s">
        <v>809</v>
      </c>
      <c r="S83" s="1252">
        <f>+VNR_Lineas-M84</f>
        <v>449598717.77651668</v>
      </c>
    </row>
    <row r="84" spans="12:19" ht="15.75" thickBot="1" x14ac:dyDescent="0.3">
      <c r="L84" s="893" t="s">
        <v>805</v>
      </c>
      <c r="M84" s="904">
        <f>SUM(S34:S37)</f>
        <v>143161125.87159553</v>
      </c>
      <c r="R84" s="1251" t="s">
        <v>810</v>
      </c>
      <c r="S84" s="1253">
        <f>M84</f>
        <v>143161125.87159553</v>
      </c>
    </row>
    <row r="99" spans="3:4" x14ac:dyDescent="0.25">
      <c r="C99" s="893" t="s">
        <v>288</v>
      </c>
      <c r="D99" s="910">
        <f>+D56+D58+D60</f>
        <v>1251105023.7108791</v>
      </c>
    </row>
    <row r="100" spans="3:4" x14ac:dyDescent="0.25">
      <c r="C100" s="911" t="s">
        <v>307</v>
      </c>
      <c r="D100" s="912">
        <f>+D99</f>
        <v>1251105023.7108791</v>
      </c>
    </row>
    <row r="102" spans="3:4" x14ac:dyDescent="0.25">
      <c r="C102" s="893" t="s">
        <v>308</v>
      </c>
      <c r="D102" s="904">
        <f>+VNR_Lineas</f>
        <v>592759843.64811218</v>
      </c>
    </row>
    <row r="103" spans="3:4" x14ac:dyDescent="0.25">
      <c r="C103" s="893" t="s">
        <v>309</v>
      </c>
      <c r="D103" s="904">
        <f>+G26</f>
        <v>396206611.99304014</v>
      </c>
    </row>
    <row r="104" spans="3:4" x14ac:dyDescent="0.25">
      <c r="C104" s="893" t="s">
        <v>310</v>
      </c>
      <c r="D104" s="904">
        <f>+G35</f>
        <v>40961152.143439174</v>
      </c>
    </row>
    <row r="105" spans="3:4" x14ac:dyDescent="0.25">
      <c r="C105" s="911" t="s">
        <v>307</v>
      </c>
      <c r="D105" s="913">
        <f>+VNR_Lineas+G26+G35</f>
        <v>1029927607.7845916</v>
      </c>
    </row>
    <row r="107" spans="3:4" x14ac:dyDescent="0.25">
      <c r="D107" s="914">
        <f>+D105/D61-1</f>
        <v>-0.22787429883641186</v>
      </c>
    </row>
    <row r="127" spans="3:6" ht="15.75" thickBot="1" x14ac:dyDescent="0.3"/>
    <row r="128" spans="3:6" ht="15.75" thickBot="1" x14ac:dyDescent="0.3">
      <c r="C128" s="915" t="s">
        <v>287</v>
      </c>
      <c r="D128" s="916" t="s">
        <v>288</v>
      </c>
      <c r="E128" s="917" t="s">
        <v>289</v>
      </c>
      <c r="F128" s="1128"/>
    </row>
    <row r="129" spans="2:6" x14ac:dyDescent="0.25">
      <c r="B129" s="918" t="s">
        <v>292</v>
      </c>
      <c r="C129" s="919">
        <v>230411895.76401484</v>
      </c>
      <c r="D129" s="920">
        <v>348431106.74645525</v>
      </c>
      <c r="E129" s="921">
        <v>385512053.64238614</v>
      </c>
      <c r="F129" s="902"/>
    </row>
    <row r="130" spans="2:6" x14ac:dyDescent="0.25">
      <c r="B130" s="922" t="s">
        <v>295</v>
      </c>
      <c r="C130" s="923">
        <v>4114080</v>
      </c>
      <c r="D130" s="924">
        <v>6494763.1425745506</v>
      </c>
      <c r="E130" s="925">
        <v>7482446.0167909563</v>
      </c>
      <c r="F130" s="902"/>
    </row>
    <row r="131" spans="2:6" x14ac:dyDescent="0.25">
      <c r="B131" s="922" t="s">
        <v>298</v>
      </c>
      <c r="C131" s="923">
        <v>165196416.07344368</v>
      </c>
      <c r="D131" s="924">
        <v>245530481.49300849</v>
      </c>
      <c r="E131" s="925">
        <v>300751737.30438381</v>
      </c>
      <c r="F131" s="902"/>
    </row>
    <row r="132" spans="2:6" x14ac:dyDescent="0.25">
      <c r="B132" s="922" t="s">
        <v>301</v>
      </c>
      <c r="C132" s="923">
        <v>27733774.29710488</v>
      </c>
      <c r="D132" s="924">
        <v>49089337.133500792</v>
      </c>
      <c r="E132" s="925">
        <v>59839508.611118525</v>
      </c>
      <c r="F132" s="902"/>
    </row>
    <row r="133" spans="2:6" ht="15.75" thickBot="1" x14ac:dyDescent="0.3">
      <c r="B133" s="926" t="s">
        <v>304</v>
      </c>
      <c r="C133" s="927" t="s">
        <v>305</v>
      </c>
      <c r="D133" s="928">
        <v>12328578.80273428</v>
      </c>
      <c r="E133" s="929">
        <v>14395727.970717791</v>
      </c>
      <c r="F133" s="902"/>
    </row>
    <row r="134" spans="2:6" ht="15.75" thickBot="1" x14ac:dyDescent="0.3">
      <c r="B134" s="930" t="s">
        <v>12</v>
      </c>
      <c r="C134" s="931">
        <v>427456166.13456339</v>
      </c>
      <c r="D134" s="932">
        <v>661874267.31827343</v>
      </c>
      <c r="E134" s="933">
        <v>767981473.54539716</v>
      </c>
      <c r="F134" s="902"/>
    </row>
    <row r="136" spans="2:6" x14ac:dyDescent="0.25">
      <c r="C136" s="893" t="s">
        <v>288</v>
      </c>
      <c r="D136" s="910">
        <f>+D129+D131+D133</f>
        <v>606290167.04219806</v>
      </c>
    </row>
    <row r="137" spans="2:6" x14ac:dyDescent="0.25">
      <c r="C137" s="893" t="s">
        <v>311</v>
      </c>
      <c r="D137" s="910">
        <f>+'[1]Plan de Expansión'!C10*1000+'[1]Plan de Expansión'!D10*10000</f>
        <v>0</v>
      </c>
    </row>
    <row r="138" spans="2:6" x14ac:dyDescent="0.25">
      <c r="C138" s="911" t="s">
        <v>307</v>
      </c>
      <c r="D138" s="912">
        <f>+D136+D137</f>
        <v>606290167.04219806</v>
      </c>
    </row>
    <row r="140" spans="2:6" x14ac:dyDescent="0.25">
      <c r="C140" s="893" t="s">
        <v>308</v>
      </c>
      <c r="D140" s="904">
        <f>+VNR_Lineas</f>
        <v>592759843.64811218</v>
      </c>
    </row>
    <row r="141" spans="2:6" x14ac:dyDescent="0.25">
      <c r="C141" s="893" t="s">
        <v>309</v>
      </c>
      <c r="D141" s="904">
        <f>+G26</f>
        <v>396206611.99304014</v>
      </c>
    </row>
    <row r="142" spans="2:6" x14ac:dyDescent="0.25">
      <c r="C142" s="893" t="s">
        <v>310</v>
      </c>
      <c r="D142" s="904">
        <f>+G35</f>
        <v>40961152.143439174</v>
      </c>
    </row>
    <row r="143" spans="2:6" x14ac:dyDescent="0.25">
      <c r="C143" s="911" t="s">
        <v>307</v>
      </c>
      <c r="D143" s="913">
        <f>+VNR_Lineas+G26+G35</f>
        <v>1029927607.7845916</v>
      </c>
    </row>
  </sheetData>
  <mergeCells count="31">
    <mergeCell ref="M61:O61"/>
    <mergeCell ref="M53:N53"/>
    <mergeCell ref="M65:N65"/>
    <mergeCell ref="M68:O68"/>
    <mergeCell ref="J11:K11"/>
    <mergeCell ref="J12:K12"/>
    <mergeCell ref="J13:K13"/>
    <mergeCell ref="J15:K15"/>
    <mergeCell ref="J16:K16"/>
    <mergeCell ref="M45:N45"/>
    <mergeCell ref="M50:O50"/>
    <mergeCell ref="M10:N10"/>
    <mergeCell ref="M38:O38"/>
    <mergeCell ref="Q56:Q59"/>
    <mergeCell ref="R56:R59"/>
    <mergeCell ref="S56:S59"/>
    <mergeCell ref="R52:S52"/>
    <mergeCell ref="S19:S21"/>
    <mergeCell ref="R64:S64"/>
    <mergeCell ref="R74:S74"/>
    <mergeCell ref="T30:T33"/>
    <mergeCell ref="Q9:S9"/>
    <mergeCell ref="Q30:Q33"/>
    <mergeCell ref="R30:R33"/>
    <mergeCell ref="S30:S33"/>
    <mergeCell ref="Q11:Q14"/>
    <mergeCell ref="R11:R14"/>
    <mergeCell ref="S11:S14"/>
    <mergeCell ref="T11:T14"/>
    <mergeCell ref="T56:T58"/>
    <mergeCell ref="Q44:S44"/>
  </mergeCells>
  <phoneticPr fontId="123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V197"/>
  <sheetViews>
    <sheetView showGridLines="0" zoomScale="80" zoomScaleNormal="80" workbookViewId="0">
      <pane ySplit="4" topLeftCell="A45" activePane="bottomLeft" state="frozen"/>
      <selection activeCell="M42" sqref="M42"/>
      <selection pane="bottomLeft" activeCell="E80" sqref="E80"/>
    </sheetView>
  </sheetViews>
  <sheetFormatPr baseColWidth="10" defaultColWidth="9.140625" defaultRowHeight="12.75" x14ac:dyDescent="0.2"/>
  <cols>
    <col min="1" max="1" width="3.7109375" style="428" customWidth="1"/>
    <col min="2" max="2" width="58.7109375" style="428" customWidth="1"/>
    <col min="3" max="3" width="11.7109375" style="428" customWidth="1"/>
    <col min="4" max="9" width="15.5703125" style="428" customWidth="1"/>
    <col min="10" max="10" width="16" style="428" customWidth="1"/>
    <col min="11" max="11" width="11.85546875" style="428" customWidth="1"/>
    <col min="12" max="12" width="10.7109375" style="428" customWidth="1"/>
    <col min="13" max="13" width="10.42578125" style="428" customWidth="1"/>
    <col min="14" max="14" width="10.5703125" style="428" customWidth="1"/>
    <col min="15" max="16" width="9.140625" style="428"/>
    <col min="17" max="17" width="15" style="428" customWidth="1"/>
    <col min="18" max="19" width="9.140625" style="428"/>
    <col min="20" max="20" width="9.42578125" style="428" customWidth="1"/>
    <col min="21" max="21" width="9.5703125" style="428" customWidth="1"/>
    <col min="22" max="16384" width="9.140625" style="428"/>
  </cols>
  <sheetData>
    <row r="1" spans="2:13" s="890" customFormat="1" ht="15" x14ac:dyDescent="0.25">
      <c r="B1" s="893"/>
      <c r="C1" s="893"/>
      <c r="D1" s="893"/>
      <c r="E1" s="893"/>
      <c r="F1" s="893"/>
      <c r="G1" s="893"/>
      <c r="H1" s="893"/>
      <c r="I1" s="893"/>
    </row>
    <row r="2" spans="2:13" s="890" customFormat="1" x14ac:dyDescent="0.2">
      <c r="B2" s="1713" t="s">
        <v>349</v>
      </c>
      <c r="C2" s="1713"/>
      <c r="D2" s="1713"/>
      <c r="E2" s="1713"/>
      <c r="F2" s="1713"/>
      <c r="G2" s="1713"/>
      <c r="H2" s="1713"/>
      <c r="I2" s="1713"/>
    </row>
    <row r="3" spans="2:13" s="890" customFormat="1" x14ac:dyDescent="0.2">
      <c r="B3" s="1713" t="s">
        <v>659</v>
      </c>
      <c r="C3" s="1713"/>
      <c r="D3" s="1713"/>
      <c r="E3" s="1713"/>
      <c r="F3" s="1713"/>
      <c r="G3" s="1713"/>
      <c r="H3" s="1713"/>
      <c r="I3" s="1713"/>
    </row>
    <row r="4" spans="2:13" s="890" customFormat="1" x14ac:dyDescent="0.2">
      <c r="B4" s="1713" t="s">
        <v>731</v>
      </c>
      <c r="C4" s="1713"/>
      <c r="D4" s="1713"/>
      <c r="E4" s="1713"/>
      <c r="F4" s="1713"/>
      <c r="G4" s="1713"/>
      <c r="H4" s="1713"/>
      <c r="I4" s="1713"/>
    </row>
    <row r="5" spans="2:13" s="892" customFormat="1" ht="13.5" thickBot="1" x14ac:dyDescent="0.25">
      <c r="B5" s="891" t="s">
        <v>351</v>
      </c>
    </row>
    <row r="6" spans="2:13" x14ac:dyDescent="0.2">
      <c r="B6" s="411"/>
      <c r="C6" s="409" t="s">
        <v>17</v>
      </c>
      <c r="D6" s="409">
        <v>2016</v>
      </c>
      <c r="E6" s="409">
        <v>2017</v>
      </c>
      <c r="F6" s="409">
        <f>+E6+1</f>
        <v>2018</v>
      </c>
      <c r="G6" s="409">
        <f>+F6+1</f>
        <v>2019</v>
      </c>
      <c r="H6" s="409">
        <f>+G6+1</f>
        <v>2020</v>
      </c>
      <c r="I6" s="408">
        <f>+H6+1</f>
        <v>2021</v>
      </c>
    </row>
    <row r="7" spans="2:13" x14ac:dyDescent="0.2">
      <c r="B7" s="429" t="s">
        <v>18</v>
      </c>
      <c r="C7" s="405" t="s">
        <v>19</v>
      </c>
      <c r="D7" s="430"/>
      <c r="E7" s="1025">
        <v>1.8700000000000001E-2</v>
      </c>
      <c r="F7" s="430">
        <v>1.8700000000000001E-2</v>
      </c>
      <c r="G7" s="430">
        <v>1.8700000000000001E-2</v>
      </c>
      <c r="H7" s="430">
        <v>1.8700000000000001E-2</v>
      </c>
      <c r="I7" s="432">
        <v>1.8700000000000001E-2</v>
      </c>
      <c r="J7" s="433"/>
      <c r="K7" s="433"/>
      <c r="M7" s="434"/>
    </row>
    <row r="8" spans="2:13" ht="13.5" thickBot="1" x14ac:dyDescent="0.25">
      <c r="B8" s="435" t="s">
        <v>20</v>
      </c>
      <c r="C8" s="402" t="s">
        <v>19</v>
      </c>
      <c r="D8" s="436"/>
      <c r="E8" s="436">
        <v>1.32E-2</v>
      </c>
      <c r="F8" s="436">
        <v>1.32E-2</v>
      </c>
      <c r="G8" s="436">
        <v>1.32E-2</v>
      </c>
      <c r="H8" s="436">
        <v>1.32E-2</v>
      </c>
      <c r="I8" s="438">
        <v>1.32E-2</v>
      </c>
      <c r="J8" s="433"/>
      <c r="K8" s="433"/>
    </row>
    <row r="9" spans="2:13" ht="13.5" thickBot="1" x14ac:dyDescent="0.25">
      <c r="E9" s="439"/>
      <c r="F9" s="439"/>
      <c r="G9" s="439"/>
      <c r="H9" s="439"/>
      <c r="I9" s="439"/>
      <c r="J9" s="433"/>
      <c r="K9" s="433"/>
    </row>
    <row r="10" spans="2:13" x14ac:dyDescent="0.2">
      <c r="B10" s="440" t="s">
        <v>352</v>
      </c>
      <c r="C10" s="441" t="s">
        <v>19</v>
      </c>
      <c r="D10" s="442">
        <v>3.3385882564188139E-2</v>
      </c>
      <c r="E10" s="439"/>
      <c r="F10" s="439"/>
      <c r="G10" s="439"/>
      <c r="H10" s="439"/>
      <c r="I10" s="439"/>
      <c r="J10" s="443"/>
      <c r="K10" s="443"/>
    </row>
    <row r="11" spans="2:13" ht="13.5" thickBot="1" x14ac:dyDescent="0.25">
      <c r="B11" s="444" t="s">
        <v>21</v>
      </c>
      <c r="C11" s="445" t="s">
        <v>19</v>
      </c>
      <c r="D11" s="446">
        <v>7.2999999999999995E-2</v>
      </c>
      <c r="E11" s="439"/>
      <c r="F11" s="439"/>
      <c r="G11" s="439"/>
      <c r="H11" s="439"/>
      <c r="I11" s="439"/>
      <c r="J11" s="443"/>
      <c r="K11" s="443"/>
    </row>
    <row r="12" spans="2:13" x14ac:dyDescent="0.2">
      <c r="B12" s="447"/>
      <c r="J12" s="448"/>
      <c r="K12" s="448"/>
    </row>
    <row r="13" spans="2:13" s="892" customFormat="1" x14ac:dyDescent="0.2">
      <c r="B13" s="891" t="s">
        <v>353</v>
      </c>
    </row>
    <row r="14" spans="2:13" ht="13.5" customHeight="1" thickBot="1" x14ac:dyDescent="0.25">
      <c r="B14" s="428" t="s">
        <v>354</v>
      </c>
    </row>
    <row r="15" spans="2:13" ht="13.5" customHeight="1" thickBot="1" x14ac:dyDescent="0.25">
      <c r="B15" s="411" t="s">
        <v>343</v>
      </c>
      <c r="C15" s="409" t="s">
        <v>17</v>
      </c>
      <c r="D15" s="409">
        <v>2020</v>
      </c>
      <c r="E15" s="409">
        <v>2021</v>
      </c>
      <c r="F15" s="409">
        <v>2022</v>
      </c>
      <c r="G15" s="409">
        <v>2023</v>
      </c>
      <c r="H15" s="409">
        <v>2024</v>
      </c>
      <c r="I15" s="408">
        <v>2025</v>
      </c>
    </row>
    <row r="16" spans="2:13" x14ac:dyDescent="0.2">
      <c r="B16" s="413" t="s">
        <v>355</v>
      </c>
      <c r="C16" s="405" t="s">
        <v>338</v>
      </c>
      <c r="D16" s="449">
        <v>469639.86257701961</v>
      </c>
      <c r="E16" s="449">
        <v>469639.86257701961</v>
      </c>
      <c r="F16" s="449">
        <v>469639.86257701961</v>
      </c>
      <c r="G16" s="449">
        <v>469639.86257701961</v>
      </c>
      <c r="H16" s="449">
        <v>469639.86257701961</v>
      </c>
      <c r="I16" s="450">
        <v>469639.86257701961</v>
      </c>
      <c r="J16" s="1415" t="s">
        <v>355</v>
      </c>
    </row>
    <row r="17" spans="2:11" x14ac:dyDescent="0.2">
      <c r="B17" s="413" t="s">
        <v>356</v>
      </c>
      <c r="C17" s="405" t="s">
        <v>338</v>
      </c>
      <c r="D17" s="449">
        <v>384518.88820209802</v>
      </c>
      <c r="E17" s="449">
        <v>384518.88820209802</v>
      </c>
      <c r="F17" s="449">
        <v>384518.88820209802</v>
      </c>
      <c r="G17" s="449">
        <v>384518.88820209802</v>
      </c>
      <c r="H17" s="449">
        <v>384518.88820209802</v>
      </c>
      <c r="I17" s="450">
        <v>384518.88820209802</v>
      </c>
      <c r="J17" s="1416" t="s">
        <v>356</v>
      </c>
    </row>
    <row r="18" spans="2:11" x14ac:dyDescent="0.2">
      <c r="B18" s="413" t="s">
        <v>342</v>
      </c>
      <c r="C18" s="405" t="s">
        <v>338</v>
      </c>
      <c r="D18" s="449">
        <v>35512.435460297536</v>
      </c>
      <c r="E18" s="449">
        <v>55770.612827272591</v>
      </c>
      <c r="F18" s="449">
        <v>110321.52515952972</v>
      </c>
      <c r="G18" s="449">
        <v>112314.28894817452</v>
      </c>
      <c r="H18" s="449">
        <v>123843.42384737902</v>
      </c>
      <c r="I18" s="450">
        <v>123843.42384737902</v>
      </c>
      <c r="J18" s="1416" t="s">
        <v>342</v>
      </c>
    </row>
    <row r="19" spans="2:11" x14ac:dyDescent="0.2">
      <c r="B19" s="451" t="s">
        <v>357</v>
      </c>
      <c r="C19" s="452" t="s">
        <v>338</v>
      </c>
      <c r="D19" s="453">
        <v>0</v>
      </c>
      <c r="E19" s="453">
        <v>0</v>
      </c>
      <c r="F19" s="453">
        <v>0</v>
      </c>
      <c r="G19" s="453">
        <v>0</v>
      </c>
      <c r="H19" s="453">
        <v>0</v>
      </c>
      <c r="I19" s="454">
        <v>0</v>
      </c>
      <c r="J19" s="1417"/>
    </row>
    <row r="20" spans="2:11" x14ac:dyDescent="0.2">
      <c r="B20" s="413" t="s">
        <v>358</v>
      </c>
      <c r="C20" s="405" t="s">
        <v>338</v>
      </c>
      <c r="D20" s="449">
        <v>218092.9411836119</v>
      </c>
      <c r="E20" s="449">
        <v>200731.25020751101</v>
      </c>
      <c r="F20" s="449">
        <v>183369.55923141012</v>
      </c>
      <c r="G20" s="449">
        <v>166007.86825530924</v>
      </c>
      <c r="H20" s="449">
        <v>148646.17727920835</v>
      </c>
      <c r="I20" s="450">
        <v>131284.48630310752</v>
      </c>
      <c r="J20" s="1416" t="s">
        <v>358</v>
      </c>
    </row>
    <row r="21" spans="2:11" x14ac:dyDescent="0.2">
      <c r="B21" s="413" t="s">
        <v>359</v>
      </c>
      <c r="C21" s="405" t="s">
        <v>338</v>
      </c>
      <c r="D21" s="449">
        <v>351949.0877762764</v>
      </c>
      <c r="E21" s="449">
        <v>339111.58533104893</v>
      </c>
      <c r="F21" s="449">
        <v>326274.08288582152</v>
      </c>
      <c r="G21" s="449">
        <v>313436.58044059406</v>
      </c>
      <c r="H21" s="449">
        <v>300599.07799536665</v>
      </c>
      <c r="I21" s="450">
        <v>287761.57555013924</v>
      </c>
      <c r="J21" s="1416" t="s">
        <v>359</v>
      </c>
    </row>
    <row r="22" spans="2:11" x14ac:dyDescent="0.2">
      <c r="B22" s="413" t="s">
        <v>360</v>
      </c>
      <c r="C22" s="405" t="s">
        <v>338</v>
      </c>
      <c r="D22" s="449">
        <v>18252.119806259019</v>
      </c>
      <c r="E22" s="449">
        <v>37608.763488903147</v>
      </c>
      <c r="F22" s="449">
        <v>90581.805006291019</v>
      </c>
      <c r="G22" s="449">
        <v>89175.467627172504</v>
      </c>
      <c r="H22" s="449">
        <v>97238.971180787834</v>
      </c>
      <c r="I22" s="450">
        <v>93388.429491387127</v>
      </c>
      <c r="J22" s="1416" t="s">
        <v>360</v>
      </c>
    </row>
    <row r="23" spans="2:11" x14ac:dyDescent="0.2">
      <c r="C23" s="459"/>
      <c r="D23" s="460">
        <v>0</v>
      </c>
      <c r="E23" s="460">
        <v>0</v>
      </c>
      <c r="F23" s="460">
        <v>0</v>
      </c>
      <c r="G23" s="460">
        <v>0</v>
      </c>
      <c r="H23" s="460">
        <v>0</v>
      </c>
      <c r="I23" s="460">
        <v>0</v>
      </c>
    </row>
    <row r="24" spans="2:11" x14ac:dyDescent="0.2">
      <c r="C24" s="475"/>
      <c r="D24" s="460"/>
      <c r="E24" s="460"/>
      <c r="F24" s="460"/>
      <c r="G24" s="460"/>
      <c r="H24" s="460"/>
      <c r="I24" s="460"/>
    </row>
    <row r="25" spans="2:11" s="892" customFormat="1" x14ac:dyDescent="0.2">
      <c r="B25" s="891" t="s">
        <v>379</v>
      </c>
    </row>
    <row r="26" spans="2:11" ht="13.5" thickBot="1" x14ac:dyDescent="0.25">
      <c r="B26" s="428" t="s">
        <v>354</v>
      </c>
      <c r="J26" s="480"/>
      <c r="K26" s="480"/>
    </row>
    <row r="27" spans="2:11" x14ac:dyDescent="0.2">
      <c r="B27" s="461" t="s">
        <v>380</v>
      </c>
      <c r="C27" s="409" t="s">
        <v>17</v>
      </c>
      <c r="D27" s="409">
        <v>2020</v>
      </c>
      <c r="E27" s="409">
        <v>2021</v>
      </c>
      <c r="F27" s="409">
        <v>2022</v>
      </c>
      <c r="G27" s="409">
        <v>2023</v>
      </c>
      <c r="H27" s="409">
        <v>2024</v>
      </c>
      <c r="I27" s="408">
        <v>2025</v>
      </c>
      <c r="J27" s="480"/>
      <c r="K27" s="480"/>
    </row>
    <row r="28" spans="2:11" x14ac:dyDescent="0.2">
      <c r="B28" s="413" t="s">
        <v>381</v>
      </c>
      <c r="C28" s="405" t="s">
        <v>338</v>
      </c>
      <c r="D28" s="449">
        <v>846203.09965746815</v>
      </c>
      <c r="E28" s="449">
        <v>846203.09965746815</v>
      </c>
      <c r="F28" s="481">
        <v>846203.09965746815</v>
      </c>
      <c r="G28" s="449">
        <v>846203.09965746815</v>
      </c>
      <c r="H28" s="449">
        <v>846203.09965746815</v>
      </c>
      <c r="I28" s="482">
        <v>846203.09965746815</v>
      </c>
      <c r="J28" s="483"/>
      <c r="K28" s="483"/>
    </row>
    <row r="29" spans="2:11" x14ac:dyDescent="0.2">
      <c r="B29" s="413" t="s">
        <v>382</v>
      </c>
      <c r="C29" s="405" t="s">
        <v>338</v>
      </c>
      <c r="D29" s="449">
        <v>209796.57826653475</v>
      </c>
      <c r="E29" s="449">
        <v>209796.57826653475</v>
      </c>
      <c r="F29" s="481">
        <v>209796.57826653475</v>
      </c>
      <c r="G29" s="449">
        <v>209796.57826653475</v>
      </c>
      <c r="H29" s="449">
        <v>209796.57826653475</v>
      </c>
      <c r="I29" s="482">
        <v>209796.57826653475</v>
      </c>
      <c r="J29" s="483"/>
      <c r="K29" s="483"/>
    </row>
    <row r="30" spans="2:11" ht="13.5" thickBot="1" x14ac:dyDescent="0.25">
      <c r="B30" s="455" t="s">
        <v>383</v>
      </c>
      <c r="C30" s="456" t="s">
        <v>338</v>
      </c>
      <c r="D30" s="470">
        <v>110834.09652639033</v>
      </c>
      <c r="E30" s="470">
        <v>131165.83627639033</v>
      </c>
      <c r="F30" s="470">
        <v>185914.83627639033</v>
      </c>
      <c r="G30" s="470">
        <v>187914.83627639033</v>
      </c>
      <c r="H30" s="470">
        <v>199485.83627639033</v>
      </c>
      <c r="I30" s="470">
        <v>199485.83627639033</v>
      </c>
      <c r="J30" s="483"/>
      <c r="K30" s="483"/>
    </row>
    <row r="31" spans="2:11" x14ac:dyDescent="0.2">
      <c r="B31" s="447"/>
      <c r="C31" s="475"/>
      <c r="D31" s="481"/>
      <c r="E31" s="481"/>
      <c r="F31" s="481"/>
      <c r="G31" s="481"/>
      <c r="H31" s="481"/>
      <c r="I31" s="481"/>
      <c r="J31" s="483"/>
      <c r="K31" s="483"/>
    </row>
    <row r="32" spans="2:11" s="892" customFormat="1" x14ac:dyDescent="0.2">
      <c r="B32" s="891" t="s">
        <v>393</v>
      </c>
    </row>
    <row r="33" spans="1:12" x14ac:dyDescent="0.2">
      <c r="B33" s="428" t="s">
        <v>354</v>
      </c>
    </row>
    <row r="34" spans="1:12" ht="13.5" thickBot="1" x14ac:dyDescent="0.25">
      <c r="B34" s="427"/>
    </row>
    <row r="35" spans="1:12" ht="13.5" thickBot="1" x14ac:dyDescent="0.25">
      <c r="B35" s="1418" t="s">
        <v>872</v>
      </c>
      <c r="C35" s="1419"/>
      <c r="D35" s="1419"/>
      <c r="E35" s="1419">
        <v>2021</v>
      </c>
      <c r="F35" s="1419">
        <v>2022</v>
      </c>
      <c r="G35" s="1419">
        <v>2023</v>
      </c>
      <c r="H35" s="1419">
        <v>2024</v>
      </c>
      <c r="I35" s="1419">
        <v>2025</v>
      </c>
      <c r="K35" s="548"/>
    </row>
    <row r="36" spans="1:12" x14ac:dyDescent="0.2">
      <c r="B36" s="1420" t="s">
        <v>340</v>
      </c>
      <c r="C36" s="1421" t="s">
        <v>338</v>
      </c>
      <c r="D36" s="1420"/>
      <c r="E36" s="1422">
        <v>15823.997963594655</v>
      </c>
      <c r="F36" s="1422">
        <v>15823.997963594655</v>
      </c>
      <c r="G36" s="1422">
        <v>15823.997963594655</v>
      </c>
      <c r="H36" s="1422">
        <v>15823.997963594655</v>
      </c>
      <c r="I36" s="1422">
        <v>15823.997963594655</v>
      </c>
      <c r="K36" s="1026"/>
    </row>
    <row r="37" spans="1:12" x14ac:dyDescent="0.2">
      <c r="B37" s="1423" t="s">
        <v>339</v>
      </c>
      <c r="C37" s="1424" t="s">
        <v>338</v>
      </c>
      <c r="D37" s="1423"/>
      <c r="E37" s="1425">
        <v>11169.880915478579</v>
      </c>
      <c r="F37" s="1425">
        <v>11169.880915478579</v>
      </c>
      <c r="G37" s="1425">
        <v>11169.880915478579</v>
      </c>
      <c r="H37" s="1425">
        <v>11169.880915478579</v>
      </c>
      <c r="I37" s="1425">
        <v>11169.880915478579</v>
      </c>
      <c r="K37" s="1026"/>
    </row>
    <row r="38" spans="1:12" x14ac:dyDescent="0.2">
      <c r="B38" s="1423" t="s">
        <v>395</v>
      </c>
      <c r="C38" s="1424" t="s">
        <v>338</v>
      </c>
      <c r="D38" s="1423"/>
      <c r="E38" s="1425">
        <v>17361.690976100868</v>
      </c>
      <c r="F38" s="1425">
        <v>17361.690976100868</v>
      </c>
      <c r="G38" s="1425">
        <v>17361.690976100868</v>
      </c>
      <c r="H38" s="1425">
        <v>17361.690976100868</v>
      </c>
      <c r="I38" s="1425">
        <v>17361.690976100868</v>
      </c>
      <c r="K38" s="1026"/>
    </row>
    <row r="39" spans="1:12" x14ac:dyDescent="0.2">
      <c r="B39" s="1423" t="s">
        <v>396</v>
      </c>
      <c r="C39" s="1424" t="s">
        <v>338</v>
      </c>
      <c r="D39" s="1423"/>
      <c r="E39" s="1425">
        <v>15920.784706403667</v>
      </c>
      <c r="F39" s="1425">
        <v>14653.381265148302</v>
      </c>
      <c r="G39" s="1425">
        <v>13385.977823892938</v>
      </c>
      <c r="H39" s="1425">
        <v>12118.574382637573</v>
      </c>
      <c r="I39" s="1425">
        <v>10851.170941382208</v>
      </c>
      <c r="K39" s="1026"/>
    </row>
    <row r="40" spans="1:12" ht="13.5" thickBot="1" x14ac:dyDescent="0.25">
      <c r="B40" s="1426" t="s">
        <v>398</v>
      </c>
      <c r="C40" s="1427" t="s">
        <v>338</v>
      </c>
      <c r="D40" s="1426"/>
      <c r="E40" s="1425">
        <v>15</v>
      </c>
      <c r="F40" s="1425">
        <v>120</v>
      </c>
      <c r="G40" s="1425">
        <v>120</v>
      </c>
      <c r="H40" s="1425">
        <v>120</v>
      </c>
      <c r="I40" s="1425">
        <v>15</v>
      </c>
      <c r="J40" s="477" t="s">
        <v>732</v>
      </c>
      <c r="K40" s="1026"/>
    </row>
    <row r="41" spans="1:12" ht="13.5" thickBot="1" x14ac:dyDescent="0.25">
      <c r="B41" s="1428" t="s">
        <v>400</v>
      </c>
      <c r="C41" s="1429"/>
      <c r="D41" s="1429"/>
      <c r="E41" s="1430">
        <v>60291.354561577777</v>
      </c>
      <c r="F41" s="1430">
        <v>59128.95112032241</v>
      </c>
      <c r="G41" s="1430">
        <v>57861.547679067044</v>
      </c>
      <c r="H41" s="1430">
        <v>56594.144237811677</v>
      </c>
      <c r="I41" s="1430">
        <v>55221.740796556318</v>
      </c>
      <c r="L41" s="477"/>
    </row>
    <row r="42" spans="1:12" ht="13.5" thickBot="1" x14ac:dyDescent="0.25">
      <c r="A42" s="493"/>
      <c r="B42" s="494"/>
      <c r="C42" s="493"/>
      <c r="D42" s="493"/>
      <c r="E42" s="495"/>
      <c r="F42" s="495"/>
      <c r="G42" s="495"/>
      <c r="H42" s="495"/>
      <c r="I42" s="495"/>
    </row>
    <row r="43" spans="1:12" ht="13.5" thickBot="1" x14ac:dyDescent="0.25">
      <c r="B43" s="1418" t="s">
        <v>873</v>
      </c>
      <c r="C43" s="1419"/>
      <c r="D43" s="1419"/>
      <c r="E43" s="1419">
        <v>2021</v>
      </c>
      <c r="F43" s="1419">
        <v>2022</v>
      </c>
      <c r="G43" s="1419">
        <v>2023</v>
      </c>
      <c r="H43" s="1419">
        <v>2024</v>
      </c>
      <c r="I43" s="1419">
        <v>2025</v>
      </c>
    </row>
    <row r="44" spans="1:12" x14ac:dyDescent="0.2">
      <c r="B44" s="1420" t="s">
        <v>340</v>
      </c>
      <c r="C44" s="1421" t="s">
        <v>338</v>
      </c>
      <c r="D44" s="1420"/>
      <c r="E44" s="1422">
        <v>3923.1960135842</v>
      </c>
      <c r="F44" s="1422">
        <v>3923.1960135842</v>
      </c>
      <c r="G44" s="1422">
        <v>3923.1960135842</v>
      </c>
      <c r="H44" s="1422">
        <v>3923.1960135842</v>
      </c>
      <c r="I44" s="1422">
        <v>3923.1960135842</v>
      </c>
    </row>
    <row r="45" spans="1:12" x14ac:dyDescent="0.2">
      <c r="B45" s="1423" t="s">
        <v>339</v>
      </c>
      <c r="C45" s="1424" t="s">
        <v>338</v>
      </c>
      <c r="D45" s="1423"/>
      <c r="E45" s="1425">
        <v>2769.3148331182588</v>
      </c>
      <c r="F45" s="1425">
        <v>2769.3148331182588</v>
      </c>
      <c r="G45" s="1425">
        <v>2769.3148331182588</v>
      </c>
      <c r="H45" s="1425">
        <v>2769.3148331182588</v>
      </c>
      <c r="I45" s="1425">
        <v>2769.3148331182588</v>
      </c>
    </row>
    <row r="46" spans="1:12" x14ac:dyDescent="0.2">
      <c r="B46" s="1423" t="s">
        <v>395</v>
      </c>
      <c r="C46" s="1424" t="s">
        <v>338</v>
      </c>
      <c r="D46" s="1423"/>
      <c r="E46" s="1425">
        <v>12837.502445227432</v>
      </c>
      <c r="F46" s="1425">
        <v>12837.502445227432</v>
      </c>
      <c r="G46" s="1425">
        <v>12837.502445227432</v>
      </c>
      <c r="H46" s="1425">
        <v>12837.502445227432</v>
      </c>
      <c r="I46" s="1425">
        <v>12837.502445227432</v>
      </c>
    </row>
    <row r="47" spans="1:12" x14ac:dyDescent="0.2">
      <c r="B47" s="1423" t="s">
        <v>396</v>
      </c>
      <c r="C47" s="1424" t="s">
        <v>338</v>
      </c>
      <c r="D47" s="1423"/>
      <c r="E47" s="1425">
        <v>25692.283407668176</v>
      </c>
      <c r="F47" s="1425">
        <v>24755.145729166572</v>
      </c>
      <c r="G47" s="1425">
        <v>23818.008050664968</v>
      </c>
      <c r="H47" s="1425">
        <v>22880.870372163365</v>
      </c>
      <c r="I47" s="1425">
        <v>21943.732693661765</v>
      </c>
    </row>
    <row r="48" spans="1:12" x14ac:dyDescent="0.2">
      <c r="B48" s="1423" t="s">
        <v>402</v>
      </c>
      <c r="C48" s="1424" t="s">
        <v>338</v>
      </c>
      <c r="D48" s="1423"/>
      <c r="E48" s="1431">
        <v>0</v>
      </c>
      <c r="F48" s="1431">
        <v>0</v>
      </c>
      <c r="G48" s="1431">
        <v>-6188.872545107246</v>
      </c>
      <c r="H48" s="1431">
        <v>-6188.872545107246</v>
      </c>
      <c r="I48" s="1431">
        <v>-6188.872545107246</v>
      </c>
      <c r="J48" s="1254" t="s">
        <v>811</v>
      </c>
      <c r="K48" s="477"/>
      <c r="L48" s="477"/>
    </row>
    <row r="49" spans="1:20" ht="13.5" thickBot="1" x14ac:dyDescent="0.25">
      <c r="B49" s="1432" t="s">
        <v>398</v>
      </c>
      <c r="C49" s="1433" t="s">
        <v>338</v>
      </c>
      <c r="D49" s="1432"/>
      <c r="E49" s="1432"/>
      <c r="F49" s="1432"/>
      <c r="G49" s="1432"/>
      <c r="H49" s="1432"/>
      <c r="I49" s="1432"/>
    </row>
    <row r="50" spans="1:20" ht="13.5" thickBot="1" x14ac:dyDescent="0.25">
      <c r="B50" s="1428" t="s">
        <v>400</v>
      </c>
      <c r="C50" s="1428"/>
      <c r="D50" s="1428"/>
      <c r="E50" s="1430">
        <v>45222.296699598068</v>
      </c>
      <c r="F50" s="1430">
        <v>44285.159021096464</v>
      </c>
      <c r="G50" s="1430">
        <v>37159.148797487615</v>
      </c>
      <c r="H50" s="1430">
        <v>36222.011118986011</v>
      </c>
      <c r="I50" s="1430">
        <v>35284.873440484407</v>
      </c>
      <c r="L50" s="477"/>
    </row>
    <row r="51" spans="1:20" ht="13.5" thickBot="1" x14ac:dyDescent="0.25">
      <c r="A51" s="493"/>
      <c r="B51" s="494"/>
      <c r="C51" s="493"/>
      <c r="D51" s="493"/>
      <c r="E51" s="495"/>
      <c r="F51" s="495"/>
      <c r="G51" s="495"/>
      <c r="H51" s="495"/>
      <c r="I51" s="495"/>
    </row>
    <row r="52" spans="1:20" ht="13.5" thickBot="1" x14ac:dyDescent="0.25">
      <c r="B52" s="1418" t="s">
        <v>341</v>
      </c>
      <c r="C52" s="1419"/>
      <c r="D52" s="1419"/>
      <c r="E52" s="1419">
        <v>2021</v>
      </c>
      <c r="F52" s="1419">
        <v>2022</v>
      </c>
      <c r="G52" s="1419">
        <v>2023</v>
      </c>
      <c r="H52" s="1419">
        <v>2024</v>
      </c>
      <c r="I52" s="1419">
        <v>2025</v>
      </c>
    </row>
    <row r="53" spans="1:20" x14ac:dyDescent="0.2">
      <c r="B53" s="1420" t="s">
        <v>340</v>
      </c>
      <c r="C53" s="1421" t="s">
        <v>338</v>
      </c>
      <c r="D53" s="1420"/>
      <c r="E53" s="1422">
        <v>2072.5976050434992</v>
      </c>
      <c r="F53" s="1422">
        <v>2452.8011383684993</v>
      </c>
      <c r="G53" s="1422">
        <v>3476.6074383684995</v>
      </c>
      <c r="H53" s="1422">
        <v>3514.0074383684996</v>
      </c>
      <c r="I53" s="1422">
        <v>3730.3851383684996</v>
      </c>
      <c r="L53" s="477"/>
    </row>
    <row r="54" spans="1:20" x14ac:dyDescent="0.2">
      <c r="B54" s="1423" t="s">
        <v>339</v>
      </c>
      <c r="C54" s="1424" t="s">
        <v>338</v>
      </c>
      <c r="D54" s="1423"/>
      <c r="E54" s="1425">
        <v>1463.0100741483525</v>
      </c>
      <c r="F54" s="1425">
        <v>1731.3890388483524</v>
      </c>
      <c r="G54" s="1425">
        <v>2454.0758388483523</v>
      </c>
      <c r="H54" s="1425">
        <v>2480.4758388483524</v>
      </c>
      <c r="I54" s="1425">
        <v>2633.2130388483524</v>
      </c>
    </row>
    <row r="55" spans="1:20" x14ac:dyDescent="0.2">
      <c r="B55" s="1423" t="s">
        <v>395</v>
      </c>
      <c r="C55" s="1424" t="s">
        <v>338</v>
      </c>
      <c r="D55" s="1423"/>
      <c r="E55" s="1425">
        <v>901.53368433092817</v>
      </c>
      <c r="F55" s="1425">
        <v>1577.8708148692513</v>
      </c>
      <c r="G55" s="1425">
        <v>3399.1011677633101</v>
      </c>
      <c r="H55" s="1425">
        <v>3465.6313455891718</v>
      </c>
      <c r="I55" s="1425">
        <v>3850.5416894006967</v>
      </c>
    </row>
    <row r="56" spans="1:20" x14ac:dyDescent="0.2">
      <c r="B56" s="1423" t="s">
        <v>396</v>
      </c>
      <c r="C56" s="1424" t="s">
        <v>338</v>
      </c>
      <c r="D56" s="1423"/>
      <c r="E56" s="1425">
        <v>1332.4047458569082</v>
      </c>
      <c r="F56" s="1425">
        <v>2745.4397346899295</v>
      </c>
      <c r="G56" s="1425">
        <v>6612.4717654592441</v>
      </c>
      <c r="H56" s="1425">
        <v>6509.8091367835923</v>
      </c>
      <c r="I56" s="1425">
        <v>7098.4448961975113</v>
      </c>
    </row>
    <row r="57" spans="1:20" ht="13.5" thickBot="1" x14ac:dyDescent="0.25">
      <c r="B57" s="1432" t="s">
        <v>733</v>
      </c>
      <c r="C57" s="1424" t="s">
        <v>338</v>
      </c>
      <c r="D57" s="1432"/>
      <c r="E57" s="1434">
        <v>-1576.7933333333333</v>
      </c>
      <c r="F57" s="1434">
        <v>-1576.7933333333333</v>
      </c>
      <c r="G57" s="1434">
        <v>-1576.7933333333333</v>
      </c>
      <c r="H57" s="1435"/>
      <c r="I57" s="1436"/>
    </row>
    <row r="58" spans="1:20" ht="13.5" thickBot="1" x14ac:dyDescent="0.25">
      <c r="B58" s="1428" t="s">
        <v>400</v>
      </c>
      <c r="C58" s="1428"/>
      <c r="D58" s="1428"/>
      <c r="E58" s="1430">
        <v>5769.5461093796885</v>
      </c>
      <c r="F58" s="1430">
        <v>8507.500726776032</v>
      </c>
      <c r="G58" s="1430">
        <v>15942.256210439406</v>
      </c>
      <c r="H58" s="1430">
        <v>15969.923759589616</v>
      </c>
      <c r="I58" s="1430">
        <v>17312.584762815059</v>
      </c>
    </row>
    <row r="59" spans="1:20" ht="13.5" thickBot="1" x14ac:dyDescent="0.25">
      <c r="B59" s="494"/>
      <c r="C59" s="493"/>
      <c r="D59" s="493"/>
      <c r="E59" s="495"/>
      <c r="F59" s="495"/>
      <c r="G59" s="495"/>
      <c r="H59" s="495"/>
      <c r="I59" s="495"/>
    </row>
    <row r="60" spans="1:20" ht="13.5" thickBot="1" x14ac:dyDescent="0.25">
      <c r="B60" s="1418" t="s">
        <v>418</v>
      </c>
      <c r="C60" s="1419"/>
      <c r="D60" s="1419"/>
      <c r="E60" s="1419">
        <v>2021</v>
      </c>
      <c r="F60" s="1419">
        <v>2022</v>
      </c>
      <c r="G60" s="1419">
        <v>2023</v>
      </c>
      <c r="H60" s="1419">
        <v>2024</v>
      </c>
      <c r="I60" s="1419">
        <v>2025</v>
      </c>
    </row>
    <row r="61" spans="1:20" ht="13.5" thickBot="1" x14ac:dyDescent="0.25">
      <c r="B61" s="1420" t="s">
        <v>419</v>
      </c>
      <c r="C61" s="1421" t="s">
        <v>338</v>
      </c>
      <c r="D61" s="1420"/>
      <c r="E61" s="1437">
        <v>6640.5075590179995</v>
      </c>
      <c r="F61" s="1437">
        <v>7938.5457943300007</v>
      </c>
      <c r="G61" s="1437">
        <v>12339.819029642</v>
      </c>
      <c r="H61" s="1437">
        <v>12168.120720833</v>
      </c>
      <c r="I61" s="1437">
        <v>5730.1191324770007</v>
      </c>
      <c r="J61" s="483"/>
      <c r="O61" s="495"/>
    </row>
    <row r="62" spans="1:20" ht="13.5" thickBot="1" x14ac:dyDescent="0.25">
      <c r="B62" s="1438" t="s">
        <v>400</v>
      </c>
      <c r="C62" s="1428"/>
      <c r="D62" s="1428"/>
      <c r="E62" s="1430">
        <v>6640.5075590179995</v>
      </c>
      <c r="F62" s="1430">
        <v>7938.5457943300007</v>
      </c>
      <c r="G62" s="1430">
        <v>12339.819029642</v>
      </c>
      <c r="H62" s="1430">
        <v>12168.120720833</v>
      </c>
      <c r="I62" s="1430">
        <v>5730.1191324770007</v>
      </c>
      <c r="Q62" s="427"/>
      <c r="R62" s="427"/>
      <c r="S62" s="427"/>
    </row>
    <row r="63" spans="1:20" ht="13.5" thickBot="1" x14ac:dyDescent="0.25">
      <c r="B63" s="494"/>
      <c r="C63" s="493"/>
      <c r="D63" s="493"/>
      <c r="E63" s="495"/>
      <c r="F63" s="495"/>
      <c r="G63" s="495"/>
      <c r="H63" s="495"/>
      <c r="I63" s="495"/>
      <c r="K63" s="427"/>
      <c r="L63" s="427"/>
      <c r="M63" s="427"/>
      <c r="Q63" s="427"/>
      <c r="R63" s="427"/>
      <c r="S63" s="427"/>
    </row>
    <row r="64" spans="1:20" ht="15.75" thickBot="1" x14ac:dyDescent="0.3">
      <c r="B64" s="1418" t="s">
        <v>421</v>
      </c>
      <c r="C64" s="1439"/>
      <c r="D64" s="1419" t="s">
        <v>422</v>
      </c>
      <c r="E64" s="1419" t="s">
        <v>734</v>
      </c>
      <c r="F64" s="1419" t="s">
        <v>735</v>
      </c>
      <c r="G64" s="1419" t="s">
        <v>736</v>
      </c>
      <c r="H64" s="1419" t="s">
        <v>737</v>
      </c>
      <c r="I64" s="495"/>
      <c r="K64" s="427"/>
      <c r="L64" s="427"/>
      <c r="M64" s="427"/>
      <c r="P64" s="893"/>
      <c r="Q64" s="1027"/>
      <c r="R64" s="1027"/>
      <c r="S64" s="1027"/>
      <c r="T64" s="1027"/>
    </row>
    <row r="65" spans="2:22" ht="15" x14ac:dyDescent="0.25">
      <c r="B65" s="1440" t="s">
        <v>423</v>
      </c>
      <c r="C65" s="1441" t="s">
        <v>338</v>
      </c>
      <c r="D65" s="1442">
        <v>194955.70780113779</v>
      </c>
      <c r="E65" s="1442">
        <v>59710.15284095009</v>
      </c>
      <c r="F65" s="1442">
        <v>58495.249399694731</v>
      </c>
      <c r="G65" s="1442">
        <v>57227.845958439357</v>
      </c>
      <c r="H65" s="1442">
        <v>55907.942517183998</v>
      </c>
      <c r="I65" s="495"/>
      <c r="J65" s="893"/>
      <c r="K65" s="1027"/>
      <c r="L65" s="1027"/>
      <c r="M65" s="1027"/>
      <c r="N65" s="1027"/>
      <c r="P65" s="893"/>
      <c r="Q65" s="1028"/>
      <c r="R65" s="1028"/>
      <c r="S65" s="1028"/>
      <c r="T65" s="1028"/>
    </row>
    <row r="66" spans="2:22" ht="15" x14ac:dyDescent="0.25">
      <c r="B66" s="1443" t="s">
        <v>424</v>
      </c>
      <c r="C66" s="1444" t="s">
        <v>338</v>
      </c>
      <c r="D66" s="1445">
        <v>133750.95697283139</v>
      </c>
      <c r="E66" s="1445">
        <v>44753.727860347266</v>
      </c>
      <c r="F66" s="1445">
        <v>40722.153909292043</v>
      </c>
      <c r="G66" s="1445">
        <v>36690.579958236813</v>
      </c>
      <c r="H66" s="1445">
        <v>35753.442279735209</v>
      </c>
      <c r="I66" s="495"/>
      <c r="J66" s="893"/>
      <c r="K66" s="1028"/>
      <c r="L66" s="1028"/>
      <c r="M66" s="1028"/>
      <c r="N66" s="1028"/>
      <c r="P66" s="893"/>
      <c r="Q66" s="1028"/>
      <c r="R66" s="1028"/>
      <c r="S66" s="1028"/>
      <c r="T66" s="1028"/>
    </row>
    <row r="67" spans="2:22" ht="15" x14ac:dyDescent="0.25">
      <c r="B67" s="1443" t="s">
        <v>425</v>
      </c>
      <c r="C67" s="1444" t="s">
        <v>338</v>
      </c>
      <c r="D67" s="1445">
        <v>194955.70780113779</v>
      </c>
      <c r="E67" s="1445">
        <v>57946.700069334373</v>
      </c>
      <c r="F67" s="1445">
        <v>57946.700069334373</v>
      </c>
      <c r="G67" s="1445">
        <v>57946.700069334373</v>
      </c>
      <c r="H67" s="1445">
        <v>57946.700069334373</v>
      </c>
      <c r="I67" s="495"/>
      <c r="J67" s="893"/>
      <c r="K67" s="1028"/>
      <c r="L67" s="1028"/>
      <c r="M67" s="1028"/>
      <c r="N67" s="1028"/>
      <c r="P67" s="893"/>
      <c r="Q67" s="1028"/>
      <c r="R67" s="1028"/>
      <c r="S67" s="1028"/>
      <c r="T67" s="1028"/>
    </row>
    <row r="68" spans="2:22" ht="15" x14ac:dyDescent="0.25">
      <c r="B68" s="1446" t="s">
        <v>426</v>
      </c>
      <c r="C68" s="1447" t="s">
        <v>338</v>
      </c>
      <c r="D68" s="1448">
        <v>133750.95697283142</v>
      </c>
      <c r="E68" s="1448">
        <v>39754.807259076697</v>
      </c>
      <c r="F68" s="1448">
        <v>39754.807259076697</v>
      </c>
      <c r="G68" s="1448">
        <v>39754.807259076697</v>
      </c>
      <c r="H68" s="1448">
        <v>39754.807259076697</v>
      </c>
      <c r="I68" s="495"/>
      <c r="J68" s="893"/>
      <c r="K68" s="1028"/>
      <c r="L68" s="1028"/>
      <c r="M68" s="1028"/>
      <c r="N68" s="1028"/>
      <c r="P68" s="911"/>
      <c r="Q68" s="1029"/>
      <c r="R68" s="1029"/>
      <c r="S68" s="1029"/>
      <c r="T68" s="1029"/>
    </row>
    <row r="69" spans="2:22" ht="15.75" thickBot="1" x14ac:dyDescent="0.3">
      <c r="B69" s="494"/>
      <c r="C69" s="493"/>
      <c r="D69" s="495"/>
      <c r="E69" s="495"/>
      <c r="F69" s="495"/>
      <c r="G69" s="495"/>
      <c r="H69" s="495"/>
      <c r="I69" s="495"/>
      <c r="J69" s="911"/>
      <c r="K69" s="1029"/>
      <c r="L69" s="1029"/>
      <c r="M69" s="1029"/>
      <c r="N69" s="1029"/>
      <c r="P69" s="911"/>
      <c r="Q69" s="1029"/>
      <c r="R69" s="1029"/>
      <c r="S69" s="1029"/>
      <c r="T69" s="1029"/>
      <c r="U69" s="1028"/>
    </row>
    <row r="70" spans="2:22" ht="15.75" thickBot="1" x14ac:dyDescent="0.3">
      <c r="B70" s="1418" t="s">
        <v>427</v>
      </c>
      <c r="C70" s="1419"/>
      <c r="D70" s="1419"/>
      <c r="E70" s="1419" t="s">
        <v>734</v>
      </c>
      <c r="F70" s="1419" t="s">
        <v>735</v>
      </c>
      <c r="G70" s="1419" t="s">
        <v>736</v>
      </c>
      <c r="H70" s="1419" t="s">
        <v>737</v>
      </c>
      <c r="J70" s="911"/>
      <c r="K70" s="1029"/>
      <c r="L70" s="1029"/>
      <c r="M70" s="1029"/>
      <c r="N70" s="1029"/>
      <c r="O70" s="1028"/>
      <c r="V70" s="1028"/>
    </row>
    <row r="71" spans="2:22" ht="6" customHeight="1" x14ac:dyDescent="0.2">
      <c r="B71" s="1449"/>
      <c r="C71" s="1441"/>
      <c r="D71" s="1420"/>
      <c r="E71" s="1442"/>
      <c r="F71" s="1442"/>
      <c r="G71" s="1442"/>
      <c r="H71" s="1442"/>
      <c r="P71" s="1030"/>
      <c r="Q71" s="1031"/>
      <c r="R71" s="1031"/>
      <c r="S71" s="1031"/>
      <c r="T71" s="1031"/>
    </row>
    <row r="72" spans="2:22" x14ac:dyDescent="0.2">
      <c r="B72" s="1450" t="s">
        <v>874</v>
      </c>
      <c r="C72" s="1444" t="s">
        <v>338</v>
      </c>
      <c r="D72" s="1445"/>
      <c r="E72" s="1451">
        <v>59710.15284095009</v>
      </c>
      <c r="F72" s="1451">
        <v>58495.249399694731</v>
      </c>
      <c r="G72" s="1451">
        <v>57227.845958439357</v>
      </c>
      <c r="H72" s="1451">
        <v>55907.942517183998</v>
      </c>
      <c r="I72" s="483"/>
      <c r="J72" s="1030"/>
      <c r="K72" s="1031"/>
      <c r="L72" s="1031"/>
      <c r="M72" s="1031"/>
      <c r="N72" s="1031"/>
      <c r="P72" s="1030"/>
      <c r="Q72" s="1031"/>
      <c r="R72" s="1031"/>
      <c r="S72" s="1031"/>
      <c r="T72" s="1031"/>
    </row>
    <row r="73" spans="2:22" ht="6.6" customHeight="1" x14ac:dyDescent="0.25">
      <c r="B73" s="1450"/>
      <c r="C73" s="1444"/>
      <c r="D73" s="1423"/>
      <c r="E73" s="1451"/>
      <c r="F73" s="1451"/>
      <c r="G73" s="1451"/>
      <c r="H73" s="1451"/>
      <c r="J73" s="1030"/>
      <c r="K73" s="1031"/>
      <c r="L73" s="1031"/>
      <c r="M73" s="1031"/>
      <c r="N73" s="1031"/>
      <c r="P73" s="893"/>
      <c r="Q73" s="1028"/>
      <c r="R73" s="1028"/>
      <c r="S73" s="1028"/>
      <c r="T73" s="1028"/>
      <c r="U73" s="1028"/>
    </row>
    <row r="74" spans="2:22" ht="15" x14ac:dyDescent="0.25">
      <c r="B74" s="1450" t="s">
        <v>875</v>
      </c>
      <c r="C74" s="1444" t="s">
        <v>338</v>
      </c>
      <c r="D74" s="1423"/>
      <c r="E74" s="1451">
        <v>44753.727860347266</v>
      </c>
      <c r="F74" s="1451">
        <v>40722.153909292043</v>
      </c>
      <c r="G74" s="1451">
        <v>36690.579958236813</v>
      </c>
      <c r="H74" s="1451">
        <v>35753.442279735209</v>
      </c>
      <c r="I74" s="483"/>
      <c r="J74" s="893"/>
      <c r="K74" s="1028"/>
      <c r="L74" s="1028"/>
      <c r="M74" s="1028"/>
      <c r="N74" s="1028"/>
      <c r="O74" s="1028"/>
      <c r="V74" s="1028"/>
    </row>
    <row r="75" spans="2:22" x14ac:dyDescent="0.2">
      <c r="B75" s="1450" t="s">
        <v>341</v>
      </c>
      <c r="C75" s="1444" t="s">
        <v>338</v>
      </c>
      <c r="D75" s="1423"/>
      <c r="E75" s="1451">
        <v>5561.7300847445276</v>
      </c>
      <c r="F75" s="1451">
        <v>10648.085135274387</v>
      </c>
      <c r="G75" s="1451">
        <v>14379.296651681178</v>
      </c>
      <c r="H75" s="1451">
        <v>16641.254261202339</v>
      </c>
      <c r="I75" s="483"/>
      <c r="J75" s="483"/>
    </row>
    <row r="76" spans="2:22" ht="8.4499999999999993" customHeight="1" x14ac:dyDescent="0.2">
      <c r="B76" s="1452"/>
      <c r="C76" s="1444"/>
      <c r="D76" s="1423"/>
      <c r="E76" s="1445"/>
      <c r="F76" s="1445"/>
      <c r="G76" s="1445"/>
      <c r="H76" s="1445"/>
      <c r="I76" s="483"/>
      <c r="J76" s="1030"/>
      <c r="K76" s="1031"/>
      <c r="L76" s="1031"/>
      <c r="M76" s="1031"/>
      <c r="N76" s="1031"/>
      <c r="Q76" s="1030"/>
      <c r="R76" s="1031"/>
      <c r="S76" s="1031"/>
      <c r="T76" s="1031"/>
      <c r="U76" s="1031"/>
    </row>
    <row r="77" spans="2:22" ht="13.5" thickBot="1" x14ac:dyDescent="0.25">
      <c r="B77" s="1450" t="s">
        <v>876</v>
      </c>
      <c r="C77" s="1444" t="s">
        <v>338</v>
      </c>
      <c r="D77" s="1423"/>
      <c r="E77" s="1451">
        <v>7194.4876766739999</v>
      </c>
      <c r="F77" s="1451">
        <v>10257.733911986001</v>
      </c>
      <c r="G77" s="1451">
        <v>12302.828632590998</v>
      </c>
      <c r="H77" s="1451">
        <v>12176.948264954</v>
      </c>
      <c r="I77" s="483"/>
      <c r="K77" s="1028"/>
    </row>
    <row r="78" spans="2:22" ht="13.5" thickBot="1" x14ac:dyDescent="0.25">
      <c r="B78" s="1428" t="s">
        <v>436</v>
      </c>
      <c r="C78" s="1453" t="s">
        <v>338</v>
      </c>
      <c r="D78" s="1428"/>
      <c r="E78" s="1430">
        <v>117220.09846271589</v>
      </c>
      <c r="F78" s="1430">
        <v>120123.22235624716</v>
      </c>
      <c r="G78" s="1430">
        <v>120600.55120094835</v>
      </c>
      <c r="H78" s="1430">
        <v>120479.58732307555</v>
      </c>
      <c r="I78" s="495"/>
      <c r="K78" s="1028"/>
    </row>
    <row r="79" spans="2:22" ht="13.5" thickBot="1" x14ac:dyDescent="0.25">
      <c r="B79" s="542" t="s">
        <v>437</v>
      </c>
      <c r="C79" s="543"/>
      <c r="D79" s="543"/>
      <c r="E79" s="409" t="str">
        <f>+E70</f>
        <v>jul21-jun22</v>
      </c>
      <c r="F79" s="409" t="str">
        <f>+F70</f>
        <v>jul22-jun23</v>
      </c>
      <c r="G79" s="409" t="str">
        <f>+G70</f>
        <v>jul23-jun24</v>
      </c>
      <c r="H79" s="408" t="str">
        <f>+H70</f>
        <v>jul24-jun25</v>
      </c>
      <c r="I79" s="1032"/>
    </row>
    <row r="80" spans="2:22" ht="13.5" thickBot="1" x14ac:dyDescent="0.25">
      <c r="B80" s="455"/>
      <c r="C80" s="544"/>
      <c r="D80" s="544"/>
      <c r="E80" s="1454">
        <v>0.96538409413446868</v>
      </c>
      <c r="F80" s="1455">
        <v>0.89970558633221687</v>
      </c>
      <c r="G80" s="1455">
        <v>0.83849542062648363</v>
      </c>
      <c r="H80" s="1456">
        <v>0.78144959983828866</v>
      </c>
      <c r="I80" s="495"/>
      <c r="L80" s="1033"/>
      <c r="M80" s="1033"/>
    </row>
    <row r="81" spans="2:14" ht="13.5" thickBot="1" x14ac:dyDescent="0.25">
      <c r="B81" s="494"/>
      <c r="C81" s="493"/>
      <c r="D81" s="493"/>
      <c r="E81" s="495"/>
      <c r="F81" s="547"/>
      <c r="G81" s="495"/>
      <c r="H81" s="495"/>
      <c r="I81" s="495"/>
      <c r="L81" s="1028"/>
      <c r="M81" s="1028"/>
    </row>
    <row r="82" spans="2:14" ht="13.5" thickBot="1" x14ac:dyDescent="0.25">
      <c r="B82" s="1418" t="s">
        <v>438</v>
      </c>
      <c r="C82" s="1419"/>
      <c r="D82" s="1419" t="s">
        <v>337</v>
      </c>
      <c r="E82" s="1419" t="s">
        <v>734</v>
      </c>
      <c r="F82" s="1419" t="s">
        <v>735</v>
      </c>
      <c r="G82" s="1419" t="s">
        <v>736</v>
      </c>
      <c r="H82" s="1419" t="s">
        <v>737</v>
      </c>
      <c r="I82" s="548"/>
      <c r="L82" s="1028"/>
    </row>
    <row r="83" spans="2:14" x14ac:dyDescent="0.2">
      <c r="B83" s="1449"/>
      <c r="C83" s="1441"/>
      <c r="D83" s="1420"/>
      <c r="E83" s="1442"/>
      <c r="F83" s="1442"/>
      <c r="G83" s="1442"/>
      <c r="H83" s="1442"/>
      <c r="I83" s="483"/>
      <c r="L83" s="1028"/>
      <c r="M83" s="1028"/>
    </row>
    <row r="84" spans="2:14" x14ac:dyDescent="0.2">
      <c r="B84" s="1450" t="s">
        <v>874</v>
      </c>
      <c r="C84" s="1444" t="s">
        <v>338</v>
      </c>
      <c r="D84" s="1451">
        <v>201946.26054609759</v>
      </c>
      <c r="E84" s="1451">
        <v>57643.231810991274</v>
      </c>
      <c r="F84" s="1451">
        <v>52628.502658801604</v>
      </c>
      <c r="G84" s="1451">
        <v>47985.286768469217</v>
      </c>
      <c r="H84" s="1451">
        <v>43689.23930783548</v>
      </c>
      <c r="I84" s="483"/>
    </row>
    <row r="85" spans="2:14" x14ac:dyDescent="0.2">
      <c r="B85" s="1450" t="s">
        <v>875</v>
      </c>
      <c r="C85" s="1444" t="s">
        <v>338</v>
      </c>
      <c r="D85" s="1451">
        <v>138546.88282672409</v>
      </c>
      <c r="E85" s="1451">
        <v>43204.537029601881</v>
      </c>
      <c r="F85" s="1451">
        <v>36637.949359670376</v>
      </c>
      <c r="G85" s="1451">
        <v>30764.883275111406</v>
      </c>
      <c r="H85" s="1451">
        <v>27939.51316234043</v>
      </c>
      <c r="I85" s="483"/>
      <c r="L85" s="1033"/>
      <c r="M85" s="1033"/>
    </row>
    <row r="86" spans="2:14" x14ac:dyDescent="0.2">
      <c r="B86" s="1457" t="s">
        <v>341</v>
      </c>
      <c r="C86" s="1458" t="s">
        <v>338</v>
      </c>
      <c r="D86" s="1459">
        <v>40010.623317117104</v>
      </c>
      <c r="E86" s="1459">
        <v>5369.2057596815175</v>
      </c>
      <c r="F86" s="1459">
        <v>9580.1416799474046</v>
      </c>
      <c r="G86" s="1459">
        <v>12056.974394264396</v>
      </c>
      <c r="H86" s="1459">
        <v>13004.301483223784</v>
      </c>
      <c r="I86" s="483"/>
      <c r="L86" s="1028"/>
      <c r="M86" s="1028"/>
    </row>
    <row r="87" spans="2:14" ht="13.5" thickBot="1" x14ac:dyDescent="0.25">
      <c r="B87" s="1450" t="s">
        <v>877</v>
      </c>
      <c r="C87" s="1444" t="s">
        <v>338</v>
      </c>
      <c r="D87" s="1451">
        <v>36005.921290310536</v>
      </c>
      <c r="E87" s="1451">
        <v>6945.4439685075276</v>
      </c>
      <c r="F87" s="1451">
        <v>9228.94050372323</v>
      </c>
      <c r="G87" s="1451">
        <v>10315.865469179935</v>
      </c>
      <c r="H87" s="1451">
        <v>9515.6713488998466</v>
      </c>
      <c r="I87" s="483"/>
      <c r="L87" s="1028"/>
      <c r="M87" s="1028"/>
    </row>
    <row r="88" spans="2:14" ht="13.5" thickBot="1" x14ac:dyDescent="0.25">
      <c r="B88" s="1460" t="s">
        <v>436</v>
      </c>
      <c r="C88" s="1461" t="s">
        <v>338</v>
      </c>
      <c r="D88" s="1462">
        <v>416509.68798024935</v>
      </c>
      <c r="E88" s="1462">
        <v>113162.4185687822</v>
      </c>
      <c r="F88" s="1462">
        <v>108075.53420214263</v>
      </c>
      <c r="G88" s="1462">
        <v>101123.00990702496</v>
      </c>
      <c r="H88" s="1462">
        <v>94148.725302299543</v>
      </c>
      <c r="I88" s="483"/>
    </row>
    <row r="89" spans="2:14" x14ac:dyDescent="0.2">
      <c r="B89" s="493"/>
      <c r="C89" s="550"/>
      <c r="D89" s="493"/>
      <c r="E89" s="493"/>
      <c r="F89" s="493"/>
      <c r="G89" s="493"/>
      <c r="H89" s="493"/>
      <c r="I89" s="493"/>
    </row>
    <row r="90" spans="2:14" x14ac:dyDescent="0.2">
      <c r="L90" s="557"/>
      <c r="M90" s="557"/>
      <c r="N90" s="557"/>
    </row>
    <row r="91" spans="2:14" x14ac:dyDescent="0.2">
      <c r="L91" s="557"/>
      <c r="M91" s="557"/>
      <c r="N91" s="557"/>
    </row>
    <row r="92" spans="2:14" x14ac:dyDescent="0.2">
      <c r="L92" s="557"/>
      <c r="M92" s="557"/>
      <c r="N92" s="557"/>
    </row>
    <row r="93" spans="2:14" x14ac:dyDescent="0.2">
      <c r="L93" s="557"/>
      <c r="M93" s="557"/>
      <c r="N93" s="557"/>
    </row>
    <row r="94" spans="2:14" x14ac:dyDescent="0.2">
      <c r="L94" s="557"/>
      <c r="M94" s="557"/>
      <c r="N94" s="557"/>
    </row>
    <row r="95" spans="2:14" x14ac:dyDescent="0.2">
      <c r="L95" s="592"/>
      <c r="M95" s="592"/>
      <c r="N95" s="592"/>
    </row>
    <row r="96" spans="2:14" x14ac:dyDescent="0.2">
      <c r="L96" s="580"/>
      <c r="M96" s="580"/>
      <c r="N96" s="580"/>
    </row>
    <row r="97" spans="2:15" x14ac:dyDescent="0.2">
      <c r="L97" s="557"/>
      <c r="M97" s="557"/>
      <c r="N97" s="557"/>
    </row>
    <row r="98" spans="2:15" x14ac:dyDescent="0.2">
      <c r="L98" s="557"/>
      <c r="M98" s="557"/>
      <c r="N98" s="557"/>
    </row>
    <row r="99" spans="2:15" x14ac:dyDescent="0.2">
      <c r="L99" s="557"/>
      <c r="M99" s="557"/>
      <c r="N99" s="557"/>
    </row>
    <row r="100" spans="2:15" x14ac:dyDescent="0.2">
      <c r="L100" s="557"/>
      <c r="M100" s="557"/>
      <c r="N100" s="557"/>
    </row>
    <row r="101" spans="2:15" x14ac:dyDescent="0.2">
      <c r="L101" s="557"/>
      <c r="M101" s="557"/>
      <c r="N101" s="557"/>
    </row>
    <row r="102" spans="2:15" x14ac:dyDescent="0.2">
      <c r="L102" s="580"/>
      <c r="M102" s="580"/>
      <c r="N102" s="580"/>
    </row>
    <row r="103" spans="2:15" x14ac:dyDescent="0.2">
      <c r="L103" s="593"/>
      <c r="M103" s="593"/>
      <c r="N103" s="593"/>
    </row>
    <row r="104" spans="2:15" x14ac:dyDescent="0.2">
      <c r="L104" s="593"/>
      <c r="M104" s="593"/>
      <c r="N104" s="593"/>
      <c r="O104" s="592"/>
    </row>
    <row r="105" spans="2:15" x14ac:dyDescent="0.2">
      <c r="L105" s="592"/>
      <c r="M105" s="592"/>
      <c r="N105" s="592"/>
    </row>
    <row r="106" spans="2:15" x14ac:dyDescent="0.2">
      <c r="L106" s="580"/>
      <c r="M106" s="580"/>
      <c r="N106" s="580"/>
    </row>
    <row r="107" spans="2:15" x14ac:dyDescent="0.2">
      <c r="L107" s="593"/>
      <c r="M107" s="593"/>
      <c r="N107" s="593"/>
    </row>
    <row r="108" spans="2:15" x14ac:dyDescent="0.2">
      <c r="L108" s="593"/>
      <c r="M108" s="593"/>
      <c r="N108" s="593"/>
    </row>
    <row r="109" spans="2:15" x14ac:dyDescent="0.2">
      <c r="B109" s="1712"/>
      <c r="C109" s="1712"/>
      <c r="D109" s="1712"/>
      <c r="E109" s="1712"/>
      <c r="F109" s="1712"/>
      <c r="G109" s="1712"/>
      <c r="H109" s="1712"/>
      <c r="I109" s="1712"/>
    </row>
    <row r="110" spans="2:15" x14ac:dyDescent="0.2">
      <c r="B110" s="1712"/>
      <c r="C110" s="1712"/>
      <c r="D110" s="1712"/>
      <c r="E110" s="1712"/>
      <c r="F110" s="1712"/>
      <c r="G110" s="1712"/>
      <c r="H110" s="1712"/>
      <c r="I110" s="1712"/>
    </row>
    <row r="111" spans="2:15" x14ac:dyDescent="0.2">
      <c r="B111" s="1712"/>
      <c r="C111" s="1712"/>
      <c r="D111" s="1712"/>
      <c r="E111" s="1712"/>
      <c r="F111" s="1712"/>
      <c r="G111" s="1712"/>
      <c r="H111" s="1712"/>
      <c r="I111" s="1712"/>
    </row>
    <row r="112" spans="2:15" ht="3" customHeight="1" x14ac:dyDescent="0.2">
      <c r="B112" s="427"/>
    </row>
    <row r="113" spans="2:11" ht="3" customHeight="1" x14ac:dyDescent="0.2">
      <c r="B113" s="427"/>
    </row>
    <row r="114" spans="2:11" x14ac:dyDescent="0.2">
      <c r="B114" s="594"/>
      <c r="C114" s="595"/>
      <c r="D114" s="595"/>
      <c r="E114" s="594"/>
      <c r="F114" s="594"/>
      <c r="G114" s="594"/>
      <c r="H114" s="594"/>
      <c r="I114" s="594"/>
    </row>
    <row r="115" spans="2:11" x14ac:dyDescent="0.2">
      <c r="B115" s="596"/>
      <c r="C115" s="595"/>
      <c r="D115" s="595"/>
      <c r="E115" s="595"/>
      <c r="F115" s="597"/>
      <c r="G115" s="597"/>
      <c r="H115" s="597"/>
      <c r="I115" s="597"/>
    </row>
    <row r="116" spans="2:11" x14ac:dyDescent="0.2">
      <c r="B116" s="595"/>
      <c r="C116" s="595"/>
      <c r="D116" s="595"/>
      <c r="E116" s="598"/>
      <c r="F116" s="598"/>
      <c r="G116" s="598"/>
      <c r="H116" s="598"/>
      <c r="I116" s="598"/>
      <c r="J116" s="460"/>
      <c r="K116" s="460"/>
    </row>
    <row r="117" spans="2:11" x14ac:dyDescent="0.2">
      <c r="B117" s="599"/>
      <c r="C117" s="595"/>
      <c r="D117" s="595"/>
      <c r="E117" s="598"/>
      <c r="F117" s="598"/>
      <c r="G117" s="598"/>
      <c r="H117" s="598"/>
      <c r="I117" s="598"/>
      <c r="J117" s="460"/>
      <c r="K117" s="460"/>
    </row>
    <row r="118" spans="2:11" x14ac:dyDescent="0.2">
      <c r="B118" s="595"/>
      <c r="C118" s="595"/>
      <c r="D118" s="595"/>
      <c r="E118" s="598"/>
      <c r="F118" s="598"/>
      <c r="G118" s="598"/>
      <c r="H118" s="598"/>
      <c r="I118" s="598"/>
      <c r="J118" s="460"/>
      <c r="K118" s="460"/>
    </row>
    <row r="119" spans="2:11" x14ac:dyDescent="0.2">
      <c r="B119" s="595"/>
      <c r="C119" s="595"/>
      <c r="D119" s="595"/>
      <c r="E119" s="598"/>
      <c r="F119" s="598"/>
      <c r="G119" s="598"/>
      <c r="H119" s="598"/>
      <c r="I119" s="598"/>
      <c r="J119" s="460"/>
      <c r="K119" s="460"/>
    </row>
    <row r="120" spans="2:11" x14ac:dyDescent="0.2">
      <c r="B120" s="595"/>
      <c r="C120" s="595"/>
      <c r="D120" s="595"/>
      <c r="E120" s="598"/>
      <c r="F120" s="598"/>
      <c r="G120" s="598"/>
      <c r="H120" s="598"/>
      <c r="I120" s="598"/>
      <c r="J120" s="460"/>
      <c r="K120" s="460"/>
    </row>
    <row r="121" spans="2:11" x14ac:dyDescent="0.2">
      <c r="B121" s="595"/>
      <c r="C121" s="595"/>
      <c r="D121" s="595"/>
      <c r="E121" s="598"/>
      <c r="F121" s="598"/>
      <c r="G121" s="598"/>
      <c r="H121" s="598"/>
      <c r="I121" s="598"/>
      <c r="J121" s="460"/>
      <c r="K121" s="460"/>
    </row>
    <row r="122" spans="2:11" x14ac:dyDescent="0.2">
      <c r="B122" s="595"/>
      <c r="C122" s="595"/>
      <c r="D122" s="595"/>
      <c r="E122" s="595"/>
      <c r="F122" s="595"/>
      <c r="G122" s="595"/>
      <c r="H122" s="595"/>
      <c r="I122" s="595"/>
    </row>
    <row r="123" spans="2:11" x14ac:dyDescent="0.2">
      <c r="B123" s="596"/>
      <c r="C123" s="595"/>
      <c r="D123" s="595"/>
      <c r="E123" s="594"/>
      <c r="F123" s="594"/>
      <c r="G123" s="594"/>
      <c r="H123" s="594"/>
      <c r="I123" s="594"/>
    </row>
    <row r="124" spans="2:11" x14ac:dyDescent="0.2">
      <c r="B124" s="596"/>
      <c r="C124" s="595"/>
      <c r="D124" s="595"/>
      <c r="E124" s="598"/>
      <c r="F124" s="598"/>
      <c r="G124" s="598"/>
      <c r="H124" s="598"/>
      <c r="I124" s="598"/>
    </row>
    <row r="125" spans="2:11" x14ac:dyDescent="0.2">
      <c r="B125" s="600"/>
      <c r="C125" s="595"/>
      <c r="D125" s="595"/>
      <c r="E125" s="598"/>
      <c r="F125" s="598"/>
      <c r="G125" s="598"/>
      <c r="H125" s="598"/>
      <c r="I125" s="598"/>
      <c r="J125" s="460"/>
      <c r="K125" s="460"/>
    </row>
    <row r="126" spans="2:11" x14ac:dyDescent="0.2">
      <c r="B126" s="596"/>
      <c r="C126" s="595"/>
      <c r="D126" s="595"/>
      <c r="E126" s="598"/>
      <c r="F126" s="598"/>
      <c r="G126" s="598"/>
      <c r="H126" s="598"/>
      <c r="I126" s="598"/>
    </row>
    <row r="127" spans="2:11" x14ac:dyDescent="0.2">
      <c r="B127" s="596"/>
      <c r="C127" s="595"/>
      <c r="D127" s="595"/>
      <c r="E127" s="598"/>
      <c r="F127" s="598"/>
      <c r="G127" s="598"/>
      <c r="H127" s="598"/>
      <c r="I127" s="598"/>
    </row>
    <row r="128" spans="2:11" x14ac:dyDescent="0.2">
      <c r="B128" s="595"/>
      <c r="C128" s="595"/>
      <c r="D128" s="595"/>
      <c r="E128" s="598"/>
      <c r="F128" s="598"/>
      <c r="G128" s="598"/>
      <c r="H128" s="598"/>
      <c r="I128" s="598"/>
      <c r="J128" s="477"/>
      <c r="K128" s="477"/>
    </row>
    <row r="129" spans="2:15" x14ac:dyDescent="0.2">
      <c r="B129" s="595"/>
      <c r="C129" s="595"/>
      <c r="D129" s="595"/>
      <c r="E129" s="598"/>
      <c r="F129" s="598"/>
      <c r="G129" s="598"/>
      <c r="H129" s="598"/>
      <c r="I129" s="598"/>
    </row>
    <row r="130" spans="2:15" x14ac:dyDescent="0.2">
      <c r="B130" s="595"/>
      <c r="C130" s="595"/>
      <c r="D130" s="595"/>
      <c r="E130" s="595"/>
      <c r="F130" s="595"/>
      <c r="G130" s="595"/>
      <c r="H130" s="595"/>
      <c r="I130" s="595"/>
    </row>
    <row r="131" spans="2:15" x14ac:dyDescent="0.2">
      <c r="B131" s="596"/>
      <c r="C131" s="595"/>
      <c r="D131" s="595"/>
      <c r="E131" s="601"/>
      <c r="F131" s="601"/>
      <c r="G131" s="601"/>
      <c r="H131" s="601"/>
      <c r="I131" s="601"/>
      <c r="M131" s="427"/>
      <c r="N131" s="427"/>
      <c r="O131" s="427"/>
    </row>
    <row r="132" spans="2:15" x14ac:dyDescent="0.2">
      <c r="B132" s="595"/>
      <c r="C132" s="595"/>
      <c r="D132" s="595"/>
      <c r="E132" s="595"/>
      <c r="F132" s="595"/>
      <c r="G132" s="595"/>
      <c r="H132" s="595"/>
      <c r="I132" s="595"/>
      <c r="M132" s="427"/>
      <c r="N132" s="427"/>
      <c r="O132" s="427"/>
    </row>
    <row r="133" spans="2:15" x14ac:dyDescent="0.2">
      <c r="B133" s="596"/>
      <c r="C133" s="595"/>
      <c r="D133" s="594"/>
      <c r="E133" s="595"/>
      <c r="F133" s="595"/>
      <c r="G133" s="595"/>
      <c r="H133" s="602"/>
      <c r="I133" s="602"/>
      <c r="M133" s="603"/>
      <c r="N133" s="603"/>
      <c r="O133" s="603"/>
    </row>
    <row r="134" spans="2:15" x14ac:dyDescent="0.2">
      <c r="B134" s="596"/>
      <c r="C134" s="595"/>
      <c r="D134" s="604"/>
      <c r="E134" s="605"/>
      <c r="F134" s="605"/>
      <c r="G134" s="605"/>
      <c r="H134" s="605"/>
      <c r="I134" s="606"/>
      <c r="M134" s="607"/>
      <c r="N134" s="607"/>
      <c r="O134" s="607"/>
    </row>
    <row r="135" spans="2:15" x14ac:dyDescent="0.2">
      <c r="B135" s="608"/>
      <c r="C135" s="595"/>
      <c r="D135" s="609"/>
      <c r="E135" s="610"/>
      <c r="F135" s="610"/>
      <c r="G135" s="610"/>
      <c r="H135" s="610"/>
      <c r="I135" s="606"/>
      <c r="M135" s="607"/>
      <c r="N135" s="607"/>
      <c r="O135" s="607"/>
    </row>
    <row r="136" spans="2:15" x14ac:dyDescent="0.2">
      <c r="B136" s="608"/>
      <c r="C136" s="595"/>
      <c r="D136" s="609"/>
      <c r="E136" s="610"/>
      <c r="F136" s="610"/>
      <c r="G136" s="610"/>
      <c r="H136" s="610"/>
      <c r="I136" s="606"/>
      <c r="M136" s="607"/>
      <c r="N136" s="607"/>
      <c r="O136" s="607"/>
    </row>
    <row r="137" spans="2:15" ht="13.5" customHeight="1" x14ac:dyDescent="0.2">
      <c r="B137" s="600"/>
      <c r="C137" s="595"/>
      <c r="D137" s="612"/>
      <c r="E137" s="605"/>
      <c r="F137" s="605"/>
      <c r="G137" s="605"/>
      <c r="H137" s="605"/>
      <c r="I137" s="606"/>
      <c r="M137" s="607"/>
      <c r="N137" s="607"/>
      <c r="O137" s="607"/>
    </row>
    <row r="138" spans="2:15" x14ac:dyDescent="0.2">
      <c r="B138" s="608"/>
      <c r="C138" s="595"/>
      <c r="D138" s="612"/>
      <c r="E138" s="605"/>
      <c r="F138" s="605"/>
      <c r="G138" s="605"/>
      <c r="H138" s="605"/>
      <c r="I138" s="606"/>
      <c r="M138" s="607"/>
      <c r="N138" s="607"/>
      <c r="O138" s="607"/>
    </row>
    <row r="139" spans="2:15" x14ac:dyDescent="0.2">
      <c r="B139" s="596"/>
      <c r="C139" s="595"/>
      <c r="D139" s="612"/>
      <c r="E139" s="606"/>
      <c r="F139" s="606"/>
      <c r="G139" s="606"/>
      <c r="H139" s="606"/>
      <c r="I139" s="606"/>
      <c r="M139" s="613"/>
      <c r="N139" s="613"/>
      <c r="O139" s="613"/>
    </row>
    <row r="140" spans="2:15" x14ac:dyDescent="0.2">
      <c r="B140" s="596"/>
      <c r="C140" s="595"/>
      <c r="D140" s="612"/>
      <c r="E140" s="606"/>
      <c r="F140" s="606"/>
      <c r="G140" s="606"/>
      <c r="H140" s="606"/>
      <c r="I140" s="606"/>
      <c r="M140" s="607"/>
      <c r="N140" s="607"/>
      <c r="O140" s="607"/>
    </row>
    <row r="141" spans="2:15" x14ac:dyDescent="0.2">
      <c r="B141" s="608"/>
      <c r="C141" s="595"/>
      <c r="D141" s="598"/>
      <c r="E141" s="606"/>
      <c r="F141" s="606"/>
      <c r="G141" s="606"/>
      <c r="H141" s="606"/>
      <c r="I141" s="606"/>
      <c r="M141" s="614"/>
      <c r="N141" s="614"/>
      <c r="O141" s="614"/>
    </row>
    <row r="142" spans="2:15" x14ac:dyDescent="0.2">
      <c r="B142" s="608"/>
      <c r="C142" s="595"/>
      <c r="D142" s="598"/>
      <c r="E142" s="606"/>
      <c r="F142" s="606"/>
      <c r="G142" s="606"/>
      <c r="H142" s="606"/>
      <c r="I142" s="606"/>
    </row>
    <row r="143" spans="2:15" x14ac:dyDescent="0.2">
      <c r="B143" s="596"/>
      <c r="C143" s="595"/>
      <c r="D143" s="612"/>
      <c r="E143" s="615"/>
      <c r="F143" s="615"/>
      <c r="G143" s="615"/>
      <c r="H143" s="615"/>
      <c r="I143" s="615"/>
      <c r="M143" s="616"/>
      <c r="N143" s="616"/>
      <c r="O143" s="616"/>
    </row>
    <row r="144" spans="2:15" x14ac:dyDescent="0.2">
      <c r="B144" s="427"/>
      <c r="D144" s="483"/>
      <c r="E144" s="617"/>
      <c r="G144" s="617"/>
      <c r="H144" s="617"/>
      <c r="I144" s="617"/>
    </row>
    <row r="145" spans="1:15" x14ac:dyDescent="0.2">
      <c r="I145" s="483"/>
    </row>
    <row r="146" spans="1:15" x14ac:dyDescent="0.2">
      <c r="E146" s="483"/>
      <c r="F146" s="483"/>
      <c r="G146" s="483"/>
      <c r="H146" s="483"/>
      <c r="I146" s="483"/>
    </row>
    <row r="147" spans="1:15" x14ac:dyDescent="0.2">
      <c r="D147" s="589"/>
      <c r="E147" s="427"/>
    </row>
    <row r="148" spans="1:15" x14ac:dyDescent="0.2">
      <c r="F148" s="549"/>
      <c r="G148" s="549"/>
      <c r="H148" s="549"/>
      <c r="I148" s="549"/>
    </row>
    <row r="149" spans="1:15" ht="21" customHeight="1" x14ac:dyDescent="0.2">
      <c r="B149" s="1710"/>
      <c r="C149" s="1711"/>
      <c r="F149" s="618"/>
      <c r="G149" s="618"/>
      <c r="H149" s="618"/>
      <c r="I149" s="618"/>
      <c r="M149" s="1712"/>
      <c r="N149" s="1712"/>
      <c r="O149" s="1712"/>
    </row>
    <row r="150" spans="1:15" ht="18.75" customHeight="1" x14ac:dyDescent="0.2">
      <c r="B150" s="619"/>
      <c r="C150" s="620"/>
      <c r="D150" s="618"/>
      <c r="E150" s="618"/>
      <c r="F150" s="618"/>
      <c r="G150" s="618"/>
      <c r="M150" s="480"/>
      <c r="N150" s="480"/>
      <c r="O150" s="480"/>
    </row>
    <row r="151" spans="1:15" ht="18.75" customHeight="1" x14ac:dyDescent="0.2">
      <c r="B151" s="619"/>
      <c r="C151" s="620"/>
      <c r="D151" s="618"/>
      <c r="E151" s="618"/>
      <c r="F151" s="618"/>
      <c r="G151" s="621"/>
      <c r="H151" s="427"/>
      <c r="I151" s="621"/>
      <c r="J151" s="427"/>
      <c r="K151" s="427"/>
      <c r="M151" s="480"/>
      <c r="N151" s="480"/>
      <c r="O151" s="480"/>
    </row>
    <row r="152" spans="1:15" ht="21" customHeight="1" x14ac:dyDescent="0.2">
      <c r="B152" s="594"/>
      <c r="C152" s="622"/>
      <c r="D152" s="618"/>
      <c r="E152" s="618"/>
      <c r="F152" s="427"/>
      <c r="G152" s="483"/>
      <c r="H152" s="483"/>
      <c r="I152" s="483"/>
      <c r="J152" s="483"/>
      <c r="K152" s="483"/>
      <c r="M152" s="480"/>
      <c r="N152" s="480"/>
      <c r="O152" s="480"/>
    </row>
    <row r="153" spans="1:15" x14ac:dyDescent="0.2">
      <c r="D153" s="618"/>
      <c r="E153" s="618"/>
      <c r="M153" s="480"/>
      <c r="N153" s="480"/>
      <c r="O153" s="480"/>
    </row>
    <row r="154" spans="1:15" x14ac:dyDescent="0.2">
      <c r="G154" s="618"/>
      <c r="H154" s="427"/>
      <c r="I154" s="427"/>
      <c r="J154" s="427"/>
      <c r="K154" s="427"/>
      <c r="L154" s="607"/>
      <c r="M154" s="607"/>
      <c r="N154" s="607"/>
      <c r="O154" s="607"/>
    </row>
    <row r="155" spans="1:15" x14ac:dyDescent="0.2">
      <c r="F155" s="427"/>
      <c r="G155" s="483"/>
      <c r="H155" s="483"/>
      <c r="I155" s="483"/>
      <c r="J155" s="483"/>
      <c r="K155" s="483"/>
      <c r="L155" s="607"/>
      <c r="M155" s="607"/>
      <c r="N155" s="607"/>
      <c r="O155" s="607"/>
    </row>
    <row r="156" spans="1:15" x14ac:dyDescent="0.2">
      <c r="A156" s="1034"/>
      <c r="B156" s="477"/>
      <c r="C156" s="477"/>
      <c r="D156" s="477"/>
      <c r="E156" s="477"/>
      <c r="F156" s="477"/>
      <c r="G156" s="477"/>
      <c r="H156" s="477"/>
      <c r="I156" s="477"/>
      <c r="J156" s="624"/>
      <c r="K156" s="624"/>
      <c r="L156" s="624"/>
      <c r="M156" s="624"/>
      <c r="N156" s="624"/>
      <c r="O156" s="624"/>
    </row>
    <row r="157" spans="1:15" x14ac:dyDescent="0.2">
      <c r="E157" s="483"/>
      <c r="J157" s="607"/>
      <c r="K157" s="607"/>
      <c r="L157" s="607"/>
      <c r="M157" s="607"/>
      <c r="N157" s="607"/>
      <c r="O157" s="607"/>
    </row>
    <row r="158" spans="1:15" x14ac:dyDescent="0.2">
      <c r="J158" s="607"/>
      <c r="K158" s="607"/>
      <c r="L158" s="607"/>
      <c r="M158" s="607"/>
      <c r="N158" s="607"/>
      <c r="O158" s="607"/>
    </row>
    <row r="159" spans="1:15" x14ac:dyDescent="0.2">
      <c r="D159" s="483"/>
      <c r="I159" s="616"/>
      <c r="J159" s="607"/>
      <c r="K159" s="607"/>
      <c r="L159" s="607"/>
      <c r="M159" s="607"/>
      <c r="N159" s="607"/>
      <c r="O159" s="607"/>
    </row>
    <row r="161" spans="2:9" x14ac:dyDescent="0.2">
      <c r="B161" s="427"/>
      <c r="C161" s="480"/>
      <c r="D161" s="480"/>
      <c r="E161" s="480"/>
      <c r="F161" s="480"/>
      <c r="G161" s="480"/>
      <c r="H161" s="480"/>
      <c r="I161" s="480"/>
    </row>
    <row r="162" spans="2:9" x14ac:dyDescent="0.2">
      <c r="C162" s="459"/>
      <c r="D162" s="625"/>
      <c r="E162" s="625"/>
      <c r="F162" s="625"/>
      <c r="G162" s="625"/>
      <c r="H162" s="625"/>
      <c r="I162" s="625"/>
    </row>
    <row r="163" spans="2:9" x14ac:dyDescent="0.2">
      <c r="C163" s="459"/>
      <c r="D163" s="625"/>
      <c r="E163" s="625"/>
      <c r="F163" s="625"/>
      <c r="G163" s="625"/>
      <c r="H163" s="625"/>
      <c r="I163" s="625"/>
    </row>
    <row r="164" spans="2:9" x14ac:dyDescent="0.2">
      <c r="C164" s="459"/>
      <c r="D164" s="626"/>
      <c r="E164" s="625"/>
      <c r="F164" s="625"/>
      <c r="G164" s="625"/>
      <c r="H164" s="625"/>
      <c r="I164" s="625"/>
    </row>
    <row r="165" spans="2:9" x14ac:dyDescent="0.2">
      <c r="B165" s="427"/>
      <c r="C165" s="459"/>
      <c r="D165" s="459"/>
      <c r="H165" s="627"/>
    </row>
    <row r="166" spans="2:9" x14ac:dyDescent="0.2">
      <c r="C166" s="459"/>
      <c r="D166" s="460"/>
      <c r="E166" s="460"/>
      <c r="F166" s="460"/>
      <c r="G166" s="460"/>
      <c r="H166" s="460"/>
      <c r="I166" s="460"/>
    </row>
    <row r="167" spans="2:9" x14ac:dyDescent="0.2">
      <c r="C167" s="459"/>
      <c r="D167" s="460"/>
      <c r="E167" s="460"/>
      <c r="F167" s="460"/>
      <c r="G167" s="460"/>
      <c r="H167" s="460"/>
      <c r="I167" s="460"/>
    </row>
    <row r="168" spans="2:9" x14ac:dyDescent="0.2">
      <c r="C168" s="459"/>
      <c r="D168" s="460"/>
      <c r="E168" s="460"/>
      <c r="F168" s="460"/>
      <c r="G168" s="460"/>
      <c r="H168" s="460"/>
      <c r="I168" s="460"/>
    </row>
    <row r="169" spans="2:9" x14ac:dyDescent="0.2">
      <c r="C169" s="459"/>
      <c r="D169" s="460"/>
      <c r="E169" s="460"/>
      <c r="F169" s="460"/>
      <c r="G169" s="460"/>
      <c r="H169" s="460"/>
      <c r="I169" s="460"/>
    </row>
    <row r="170" spans="2:9" x14ac:dyDescent="0.2">
      <c r="C170" s="459"/>
      <c r="D170" s="460"/>
      <c r="E170" s="460"/>
      <c r="F170" s="460"/>
      <c r="G170" s="460"/>
      <c r="H170" s="460"/>
      <c r="I170" s="460"/>
    </row>
    <row r="171" spans="2:9" x14ac:dyDescent="0.2">
      <c r="C171" s="459"/>
      <c r="D171" s="460"/>
      <c r="E171" s="460"/>
      <c r="F171" s="460"/>
      <c r="G171" s="460"/>
      <c r="H171" s="460"/>
      <c r="I171" s="460"/>
    </row>
    <row r="172" spans="2:9" x14ac:dyDescent="0.2">
      <c r="B172" s="427"/>
      <c r="C172" s="459"/>
      <c r="D172" s="459"/>
    </row>
    <row r="173" spans="2:9" x14ac:dyDescent="0.2">
      <c r="C173" s="459"/>
      <c r="D173" s="460"/>
      <c r="E173" s="460"/>
      <c r="F173" s="460"/>
      <c r="G173" s="460"/>
      <c r="H173" s="460"/>
      <c r="I173" s="460"/>
    </row>
    <row r="174" spans="2:9" x14ac:dyDescent="0.2">
      <c r="C174" s="459"/>
      <c r="D174" s="460"/>
      <c r="E174" s="460"/>
      <c r="F174" s="460"/>
      <c r="G174" s="460"/>
      <c r="H174" s="460"/>
      <c r="I174" s="460"/>
    </row>
    <row r="175" spans="2:9" x14ac:dyDescent="0.2">
      <c r="B175" s="427"/>
      <c r="C175" s="459"/>
      <c r="D175" s="459"/>
    </row>
    <row r="176" spans="2:9" x14ac:dyDescent="0.2">
      <c r="C176" s="459"/>
      <c r="D176" s="628"/>
      <c r="E176" s="460"/>
      <c r="F176" s="460"/>
      <c r="G176" s="460"/>
      <c r="H176" s="460"/>
      <c r="I176" s="460"/>
    </row>
    <row r="177" spans="2:15" x14ac:dyDescent="0.2">
      <c r="C177" s="459"/>
      <c r="D177" s="628"/>
      <c r="E177" s="629"/>
      <c r="F177" s="629"/>
      <c r="G177" s="629"/>
      <c r="H177" s="629"/>
      <c r="I177" s="629"/>
    </row>
    <row r="179" spans="2:15" x14ac:dyDescent="0.2">
      <c r="B179" s="427"/>
      <c r="C179" s="459"/>
      <c r="D179" s="480"/>
      <c r="E179" s="480"/>
      <c r="F179" s="480"/>
      <c r="G179" s="480"/>
      <c r="H179" s="480"/>
      <c r="I179" s="480"/>
      <c r="J179" s="607"/>
      <c r="K179" s="607"/>
      <c r="L179" s="607"/>
      <c r="M179" s="607"/>
      <c r="N179" s="607"/>
      <c r="O179" s="607"/>
    </row>
    <row r="180" spans="2:15" x14ac:dyDescent="0.2">
      <c r="B180" s="427"/>
      <c r="C180" s="459"/>
      <c r="D180" s="459"/>
      <c r="E180" s="630"/>
      <c r="F180" s="427"/>
      <c r="G180" s="427"/>
      <c r="H180" s="427"/>
      <c r="I180" s="427"/>
      <c r="M180" s="614"/>
      <c r="N180" s="614"/>
      <c r="O180" s="614"/>
    </row>
    <row r="181" spans="2:15" x14ac:dyDescent="0.2">
      <c r="B181" s="427"/>
      <c r="C181" s="459"/>
      <c r="D181" s="459"/>
      <c r="E181" s="589"/>
      <c r="F181" s="589"/>
      <c r="G181" s="589"/>
      <c r="H181" s="589"/>
      <c r="I181" s="589"/>
    </row>
    <row r="182" spans="2:15" x14ac:dyDescent="0.2">
      <c r="C182" s="459"/>
      <c r="D182" s="459"/>
      <c r="E182" s="460"/>
      <c r="F182" s="460"/>
      <c r="G182" s="460"/>
      <c r="H182" s="460"/>
      <c r="I182" s="460"/>
      <c r="M182" s="616"/>
      <c r="N182" s="616"/>
      <c r="O182" s="616"/>
    </row>
    <row r="183" spans="2:15" x14ac:dyDescent="0.2">
      <c r="C183" s="459"/>
      <c r="D183" s="459"/>
      <c r="E183" s="460"/>
      <c r="F183" s="460"/>
      <c r="G183" s="460"/>
      <c r="H183" s="460"/>
      <c r="I183" s="460"/>
    </row>
    <row r="184" spans="2:15" x14ac:dyDescent="0.2">
      <c r="C184" s="459"/>
      <c r="D184" s="459"/>
      <c r="E184" s="460"/>
      <c r="F184" s="460"/>
      <c r="G184" s="460"/>
      <c r="H184" s="460"/>
      <c r="I184" s="460"/>
    </row>
    <row r="185" spans="2:15" x14ac:dyDescent="0.2">
      <c r="C185" s="459"/>
      <c r="D185" s="459"/>
      <c r="E185" s="460"/>
      <c r="F185" s="460"/>
      <c r="G185" s="460"/>
      <c r="H185" s="460"/>
      <c r="I185" s="460"/>
    </row>
    <row r="186" spans="2:15" x14ac:dyDescent="0.2">
      <c r="C186" s="459"/>
      <c r="D186" s="459"/>
      <c r="E186" s="631"/>
      <c r="F186" s="631"/>
      <c r="G186" s="631"/>
      <c r="H186" s="631"/>
      <c r="I186" s="631"/>
    </row>
    <row r="187" spans="2:15" x14ac:dyDescent="0.2">
      <c r="B187" s="427"/>
      <c r="C187" s="459"/>
      <c r="D187" s="459"/>
      <c r="E187" s="589"/>
      <c r="F187" s="589"/>
      <c r="G187" s="589"/>
      <c r="H187" s="589"/>
      <c r="I187" s="589"/>
    </row>
    <row r="188" spans="2:15" x14ac:dyDescent="0.2">
      <c r="C188" s="459"/>
      <c r="D188" s="459"/>
      <c r="E188" s="460"/>
      <c r="F188" s="460"/>
      <c r="G188" s="460"/>
      <c r="H188" s="460"/>
      <c r="I188" s="460"/>
    </row>
    <row r="189" spans="2:15" x14ac:dyDescent="0.2">
      <c r="C189" s="459"/>
      <c r="D189" s="459"/>
      <c r="E189" s="460"/>
      <c r="F189" s="460"/>
      <c r="G189" s="460"/>
      <c r="H189" s="460"/>
      <c r="I189" s="460"/>
    </row>
    <row r="190" spans="2:15" x14ac:dyDescent="0.2">
      <c r="C190" s="459"/>
      <c r="D190" s="459"/>
      <c r="E190" s="460"/>
      <c r="F190" s="460"/>
      <c r="G190" s="460"/>
      <c r="H190" s="460"/>
      <c r="I190" s="460"/>
    </row>
    <row r="191" spans="2:15" x14ac:dyDescent="0.2">
      <c r="C191" s="459"/>
      <c r="D191" s="459"/>
      <c r="E191" s="460"/>
      <c r="F191" s="460"/>
      <c r="G191" s="460"/>
      <c r="H191" s="460"/>
      <c r="I191" s="460"/>
    </row>
    <row r="192" spans="2:15" x14ac:dyDescent="0.2">
      <c r="C192" s="459"/>
      <c r="D192" s="459"/>
      <c r="E192" s="460"/>
      <c r="F192" s="460"/>
      <c r="G192" s="460"/>
      <c r="H192" s="460"/>
      <c r="I192" s="460"/>
    </row>
    <row r="193" spans="2:9" x14ac:dyDescent="0.2">
      <c r="B193" s="427"/>
      <c r="C193" s="459"/>
      <c r="D193" s="459"/>
      <c r="E193" s="589"/>
      <c r="F193" s="589"/>
      <c r="G193" s="589"/>
      <c r="H193" s="589"/>
      <c r="I193" s="589"/>
    </row>
    <row r="194" spans="2:9" x14ac:dyDescent="0.2">
      <c r="C194" s="459"/>
      <c r="D194" s="628"/>
      <c r="E194" s="628"/>
      <c r="F194" s="628"/>
      <c r="G194" s="628"/>
      <c r="H194" s="628"/>
      <c r="I194" s="628"/>
    </row>
    <row r="195" spans="2:9" x14ac:dyDescent="0.2">
      <c r="C195" s="459"/>
      <c r="D195" s="628"/>
      <c r="E195" s="628"/>
      <c r="F195" s="628"/>
      <c r="G195" s="628"/>
      <c r="H195" s="628"/>
      <c r="I195" s="628"/>
    </row>
    <row r="196" spans="2:9" x14ac:dyDescent="0.2">
      <c r="B196" s="447"/>
      <c r="C196" s="475"/>
      <c r="D196" s="475"/>
      <c r="E196" s="632"/>
      <c r="F196" s="632"/>
      <c r="G196" s="632"/>
      <c r="H196" s="632"/>
      <c r="I196" s="632"/>
    </row>
    <row r="197" spans="2:9" x14ac:dyDescent="0.2">
      <c r="B197" s="633"/>
      <c r="C197" s="447"/>
      <c r="D197" s="447"/>
      <c r="E197" s="634"/>
      <c r="F197" s="634"/>
      <c r="G197" s="634"/>
      <c r="H197" s="634"/>
      <c r="I197" s="634"/>
    </row>
  </sheetData>
  <mergeCells count="8">
    <mergeCell ref="B149:C149"/>
    <mergeCell ref="M149:O149"/>
    <mergeCell ref="B2:I2"/>
    <mergeCell ref="B3:I3"/>
    <mergeCell ref="B4:I4"/>
    <mergeCell ref="B109:I109"/>
    <mergeCell ref="B110:I110"/>
    <mergeCell ref="B111:I111"/>
  </mergeCells>
  <dataValidations disablePrompts="1" count="1">
    <dataValidation type="list" allowBlank="1" showInputMessage="1" showErrorMessage="1" sqref="K36:K40" xr:uid="{00000000-0002-0000-0B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fitToHeight="0" orientation="landscape" verticalDpi="597" r:id="rId1"/>
  <rowBreaks count="2" manualBreakCount="2">
    <brk id="107" max="16383" man="1"/>
    <brk id="1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1:H43"/>
  <sheetViews>
    <sheetView showGridLines="0" zoomScale="70" zoomScaleNormal="70" workbookViewId="0">
      <selection activeCell="H32" sqref="H32"/>
    </sheetView>
  </sheetViews>
  <sheetFormatPr baseColWidth="10" defaultColWidth="11.42578125" defaultRowHeight="12.75" x14ac:dyDescent="0.2"/>
  <cols>
    <col min="1" max="1" width="3.7109375" style="399" customWidth="1"/>
    <col min="2" max="2" width="49.7109375" style="399" customWidth="1"/>
    <col min="3" max="3" width="12.28515625" style="399" bestFit="1" customWidth="1"/>
    <col min="4" max="6" width="14.85546875" style="399" customWidth="1"/>
    <col min="7" max="16384" width="11.42578125" style="399"/>
  </cols>
  <sheetData>
    <row r="1" spans="2:8" ht="13.5" thickBot="1" x14ac:dyDescent="0.25"/>
    <row r="2" spans="2:8" x14ac:dyDescent="0.2">
      <c r="B2" s="416" t="s">
        <v>21</v>
      </c>
      <c r="C2" s="414">
        <f>+'Parámetros de eficiencia'!C7</f>
        <v>7.2999999999999995E-2</v>
      </c>
      <c r="D2" s="399" t="str">
        <f>+' IMP Existente 2017 2021'!B9</f>
        <v>OMT</v>
      </c>
      <c r="E2" s="761">
        <f>+'IMP Existente APROBADO'!E7</f>
        <v>1.8700000000000001E-2</v>
      </c>
    </row>
    <row r="3" spans="2:8" ht="13.5" thickBot="1" x14ac:dyDescent="0.25">
      <c r="B3" s="417" t="s">
        <v>344</v>
      </c>
      <c r="C3" s="415">
        <f>+'Parámetros de eficiencia'!C8</f>
        <v>3.3385882564188139E-2</v>
      </c>
      <c r="D3" s="399" t="str">
        <f>+' IMP Existente 2017 2021'!B10</f>
        <v>ADMT</v>
      </c>
      <c r="E3" s="761">
        <f>+'IMP Existente APROBADO'!E8</f>
        <v>1.32E-2</v>
      </c>
    </row>
    <row r="4" spans="2:8" ht="13.5" thickBot="1" x14ac:dyDescent="0.25"/>
    <row r="5" spans="2:8" x14ac:dyDescent="0.2">
      <c r="B5" s="754" t="s">
        <v>343</v>
      </c>
      <c r="C5" s="755" t="s">
        <v>17</v>
      </c>
      <c r="D5" s="1259">
        <v>2021</v>
      </c>
      <c r="E5" s="1259">
        <v>2022</v>
      </c>
      <c r="F5" s="1259">
        <v>2023</v>
      </c>
      <c r="G5" s="1259">
        <v>2024</v>
      </c>
      <c r="H5" s="1259">
        <v>2025</v>
      </c>
    </row>
    <row r="6" spans="2:8" x14ac:dyDescent="0.2">
      <c r="B6" s="1266" t="s">
        <v>342</v>
      </c>
      <c r="C6" s="1267" t="s">
        <v>338</v>
      </c>
      <c r="D6" s="1268">
        <f>+'IMP Existente APROBADO'!D30</f>
        <v>110834.09652639033</v>
      </c>
      <c r="E6" s="1268">
        <f>+'IMP Existente APROBADO'!E30</f>
        <v>131165.83627639033</v>
      </c>
      <c r="F6" s="1268">
        <f>+'IMP Existente APROBADO'!F30</f>
        <v>185914.83627639033</v>
      </c>
      <c r="G6" s="1268">
        <f>+'IMP Existente APROBADO'!G30</f>
        <v>187914.83627639033</v>
      </c>
      <c r="H6" s="1268">
        <f>+'IMP Existente APROBADO'!H30</f>
        <v>199485.83627639033</v>
      </c>
    </row>
    <row r="8" spans="2:8" ht="13.5" thickBot="1" x14ac:dyDescent="0.25"/>
    <row r="9" spans="2:8" x14ac:dyDescent="0.2">
      <c r="B9" s="411" t="s">
        <v>341</v>
      </c>
      <c r="C9" s="409"/>
      <c r="D9" s="410">
        <v>2021</v>
      </c>
      <c r="E9" s="410">
        <v>2022</v>
      </c>
      <c r="F9" s="410">
        <v>2023</v>
      </c>
      <c r="G9" s="410">
        <v>2024</v>
      </c>
      <c r="H9" s="410">
        <v>2025</v>
      </c>
    </row>
    <row r="10" spans="2:8" x14ac:dyDescent="0.2">
      <c r="B10" s="756" t="s">
        <v>340</v>
      </c>
      <c r="C10" s="757" t="s">
        <v>338</v>
      </c>
      <c r="D10" s="760">
        <f>+D6*$E$2</f>
        <v>2072.5976050434992</v>
      </c>
      <c r="E10" s="760">
        <f t="shared" ref="E10:H10" si="0">+E6*$E$2</f>
        <v>2452.8011383684993</v>
      </c>
      <c r="F10" s="760">
        <f t="shared" si="0"/>
        <v>3476.6074383684995</v>
      </c>
      <c r="G10" s="760">
        <f t="shared" si="0"/>
        <v>3514.0074383684996</v>
      </c>
      <c r="H10" s="760">
        <f t="shared" si="0"/>
        <v>3730.3851383684996</v>
      </c>
    </row>
    <row r="11" spans="2:8" x14ac:dyDescent="0.2">
      <c r="B11" s="406" t="s">
        <v>339</v>
      </c>
      <c r="C11" s="405" t="s">
        <v>338</v>
      </c>
      <c r="D11" s="407">
        <f>+D6*$E$3</f>
        <v>1463.0100741483525</v>
      </c>
      <c r="E11" s="407">
        <f t="shared" ref="E11:H11" si="1">+E6*$E$3</f>
        <v>1731.3890388483524</v>
      </c>
      <c r="F11" s="407">
        <f t="shared" si="1"/>
        <v>2454.0758388483523</v>
      </c>
      <c r="G11" s="407">
        <f t="shared" si="1"/>
        <v>2480.4758388483524</v>
      </c>
      <c r="H11" s="407">
        <f t="shared" si="1"/>
        <v>2633.2130388483524</v>
      </c>
    </row>
    <row r="12" spans="2:8" x14ac:dyDescent="0.2">
      <c r="B12" s="406" t="s">
        <v>21</v>
      </c>
      <c r="C12" s="405" t="s">
        <v>338</v>
      </c>
      <c r="D12" s="758">
        <f>+D6*$C$2</f>
        <v>8090.8890464264941</v>
      </c>
      <c r="E12" s="758">
        <f t="shared" ref="E12:H12" si="2">+E6*$C$2</f>
        <v>9575.1060481764925</v>
      </c>
      <c r="F12" s="758">
        <f t="shared" si="2"/>
        <v>13571.783048176492</v>
      </c>
      <c r="G12" s="758">
        <f t="shared" si="2"/>
        <v>13717.783048176492</v>
      </c>
      <c r="H12" s="758">
        <f t="shared" si="2"/>
        <v>14562.466048176493</v>
      </c>
    </row>
    <row r="13" spans="2:8" ht="13.5" thickBot="1" x14ac:dyDescent="0.25">
      <c r="B13" s="403" t="s">
        <v>395</v>
      </c>
      <c r="C13" s="402" t="s">
        <v>338</v>
      </c>
      <c r="D13" s="759">
        <f>+D6*$C$3</f>
        <v>3700.2941307379601</v>
      </c>
      <c r="E13" s="759">
        <f>+E6*$C$3</f>
        <v>4379.087206357096</v>
      </c>
      <c r="F13" s="759">
        <f>+F6*$C$3</f>
        <v>6206.9308908638322</v>
      </c>
      <c r="G13" s="759">
        <f>+G6*$C$3</f>
        <v>6273.7026559922087</v>
      </c>
      <c r="H13" s="759">
        <f>+H6*$C$3</f>
        <v>6660.0107031424295</v>
      </c>
    </row>
    <row r="14" spans="2:8" ht="13.5" thickBot="1" x14ac:dyDescent="0.25">
      <c r="B14" s="403" t="s">
        <v>733</v>
      </c>
      <c r="C14" s="402" t="s">
        <v>338</v>
      </c>
      <c r="D14" s="759"/>
      <c r="E14" s="759"/>
      <c r="F14" s="759"/>
      <c r="G14" s="759"/>
      <c r="H14" s="759"/>
    </row>
    <row r="15" spans="2:8" ht="13.5" thickBot="1" x14ac:dyDescent="0.25">
      <c r="B15" s="403"/>
      <c r="C15" s="402" t="s">
        <v>338</v>
      </c>
      <c r="D15" s="400">
        <f>SUM(D10:D13)</f>
        <v>15326.790856356307</v>
      </c>
      <c r="E15" s="400">
        <f t="shared" ref="E15:H15" si="3">SUM(E10:E13)</f>
        <v>18138.383431750441</v>
      </c>
      <c r="F15" s="400">
        <f t="shared" si="3"/>
        <v>25709.397216257174</v>
      </c>
      <c r="G15" s="400">
        <f t="shared" si="3"/>
        <v>25985.968981385551</v>
      </c>
      <c r="H15" s="400">
        <f t="shared" si="3"/>
        <v>27586.074928535778</v>
      </c>
    </row>
    <row r="16" spans="2:8" ht="13.5" thickBot="1" x14ac:dyDescent="0.25"/>
    <row r="17" spans="2:8" x14ac:dyDescent="0.2">
      <c r="B17" s="411"/>
      <c r="C17" s="409" t="s">
        <v>17</v>
      </c>
      <c r="D17" s="410" t="s">
        <v>824</v>
      </c>
      <c r="E17" s="410" t="s">
        <v>825</v>
      </c>
      <c r="F17" s="410" t="s">
        <v>826</v>
      </c>
      <c r="G17" s="410" t="s">
        <v>827</v>
      </c>
    </row>
    <row r="18" spans="2:8" x14ac:dyDescent="0.2">
      <c r="B18" s="756"/>
      <c r="C18" s="757" t="s">
        <v>338</v>
      </c>
      <c r="D18" s="1535">
        <f>+D15/2</f>
        <v>7663.3954281781535</v>
      </c>
      <c r="E18" s="1535">
        <f>+E15/2</f>
        <v>9069.1917158752203</v>
      </c>
      <c r="F18" s="1535">
        <f>+F15/2</f>
        <v>12854.698608128587</v>
      </c>
      <c r="G18" s="1535">
        <f>+G15/2</f>
        <v>12992.984490692776</v>
      </c>
    </row>
    <row r="19" spans="2:8" ht="13.5" thickBot="1" x14ac:dyDescent="0.25">
      <c r="B19" s="406"/>
      <c r="C19" s="405" t="s">
        <v>338</v>
      </c>
      <c r="D19" s="867">
        <f>+E15/2</f>
        <v>9069.1917158752203</v>
      </c>
      <c r="E19" s="867">
        <f>+F15/2</f>
        <v>12854.698608128587</v>
      </c>
      <c r="F19" s="867">
        <f>+G15/2</f>
        <v>12992.984490692776</v>
      </c>
      <c r="G19" s="867">
        <f>+H15/2</f>
        <v>13793.037464267889</v>
      </c>
    </row>
    <row r="20" spans="2:8" x14ac:dyDescent="0.2">
      <c r="B20" s="406"/>
      <c r="C20" s="405" t="s">
        <v>338</v>
      </c>
      <c r="D20" s="867">
        <f>SUM(D18:D19)+D14</f>
        <v>16732.587144053374</v>
      </c>
      <c r="E20" s="867">
        <f>SUM(E18:E19)+E14</f>
        <v>21923.890324003805</v>
      </c>
      <c r="F20" s="867">
        <f>SUM(F18:F19)+F14</f>
        <v>25847.683098821362</v>
      </c>
      <c r="G20" s="867">
        <f>SUM(G18:G19)+G14</f>
        <v>26786.021954960663</v>
      </c>
      <c r="H20" s="409" t="s">
        <v>337</v>
      </c>
    </row>
    <row r="21" spans="2:8" x14ac:dyDescent="0.2">
      <c r="B21" s="406" t="s">
        <v>144</v>
      </c>
      <c r="C21" s="405" t="s">
        <v>338</v>
      </c>
      <c r="D21" s="1541">
        <f>+'IMP Existente APROBADO'!E80</f>
        <v>0.96538409413446868</v>
      </c>
      <c r="E21" s="1541">
        <f>+'IMP Existente APROBADO'!F80</f>
        <v>0.89970558633221687</v>
      </c>
      <c r="F21" s="1541">
        <f>+'IMP Existente APROBADO'!G80</f>
        <v>0.83849542062648363</v>
      </c>
      <c r="G21" s="1541">
        <f>+'IMP Existente APROBADO'!H80</f>
        <v>0.78144959983828866</v>
      </c>
      <c r="H21" s="404"/>
    </row>
    <row r="22" spans="2:8" ht="13.5" thickBot="1" x14ac:dyDescent="0.25">
      <c r="B22" s="1536" t="s">
        <v>336</v>
      </c>
      <c r="C22" s="1537" t="s">
        <v>338</v>
      </c>
      <c r="D22" s="1538">
        <f>+D20*D21</f>
        <v>16153.373482588022</v>
      </c>
      <c r="E22" s="1538">
        <f t="shared" ref="E22:G22" si="4">+E20*E21</f>
        <v>19725.04659864106</v>
      </c>
      <c r="F22" s="1538">
        <f t="shared" si="4"/>
        <v>21673.16391216627</v>
      </c>
      <c r="G22" s="1538">
        <f t="shared" si="4"/>
        <v>20931.926137963623</v>
      </c>
      <c r="H22" s="401">
        <f>+SUM(D22:G22)</f>
        <v>78483.510131358984</v>
      </c>
    </row>
    <row r="23" spans="2:8" ht="13.5" thickBot="1" x14ac:dyDescent="0.25"/>
    <row r="24" spans="2:8" ht="13.5" thickBot="1" x14ac:dyDescent="0.25">
      <c r="B24" s="1256" t="s">
        <v>828</v>
      </c>
      <c r="C24" s="1263" t="s">
        <v>17</v>
      </c>
      <c r="D24" s="1259" t="str">
        <f>+D17</f>
        <v>2021 - 2022</v>
      </c>
      <c r="E24" s="1259" t="str">
        <f t="shared" ref="E24:G24" si="5">+E17</f>
        <v>2022 - 2023</v>
      </c>
      <c r="F24" s="1259" t="str">
        <f t="shared" si="5"/>
        <v>2023 - 2024</v>
      </c>
      <c r="G24" s="1259" t="str">
        <f t="shared" si="5"/>
        <v>2024 - 2025</v>
      </c>
      <c r="H24" s="755" t="s">
        <v>337</v>
      </c>
    </row>
    <row r="25" spans="2:8" ht="18.75" x14ac:dyDescent="0.3">
      <c r="B25" s="1257" t="s">
        <v>829</v>
      </c>
      <c r="C25" s="1264" t="s">
        <v>338</v>
      </c>
      <c r="D25" s="1260">
        <f>+'IMP Existente APROBADO'!E75*D21</f>
        <v>5369.2057596815175</v>
      </c>
      <c r="E25" s="1260">
        <f>+'IMP Existente APROBADO'!F75*E21</f>
        <v>9580.1416799474046</v>
      </c>
      <c r="F25" s="1260">
        <f>+'IMP Existente APROBADO'!G75*F21</f>
        <v>12056.974394264396</v>
      </c>
      <c r="G25" s="1260">
        <f>+'IMP Existente APROBADO'!H75*G21</f>
        <v>13004.301483223784</v>
      </c>
      <c r="H25" s="637">
        <f>+'IMP Existente APROBADO'!D86</f>
        <v>40010.623317117104</v>
      </c>
    </row>
    <row r="26" spans="2:8" ht="19.5" thickBot="1" x14ac:dyDescent="0.35">
      <c r="B26" s="1258" t="str">
        <f>+B22</f>
        <v>IPCT VNR</v>
      </c>
      <c r="C26" s="1265" t="s">
        <v>338</v>
      </c>
      <c r="D26" s="1261">
        <f>+D22</f>
        <v>16153.373482588022</v>
      </c>
      <c r="E26" s="1261">
        <f t="shared" ref="E26:G26" si="6">+E22</f>
        <v>19725.04659864106</v>
      </c>
      <c r="F26" s="1261">
        <f t="shared" si="6"/>
        <v>21673.16391216627</v>
      </c>
      <c r="G26" s="1261">
        <f t="shared" si="6"/>
        <v>20931.926137963623</v>
      </c>
      <c r="H26" s="1262">
        <f>SUM(D26:G26)</f>
        <v>78483.510131358984</v>
      </c>
    </row>
    <row r="27" spans="2:8" ht="19.5" thickBot="1" x14ac:dyDescent="0.35">
      <c r="B27" s="417" t="s">
        <v>172</v>
      </c>
      <c r="C27" s="1540">
        <f>(+H25/H26)</f>
        <v>0.50979655790306455</v>
      </c>
    </row>
    <row r="28" spans="2:8" x14ac:dyDescent="0.2">
      <c r="D28" s="762"/>
      <c r="E28" s="763"/>
    </row>
    <row r="29" spans="2:8" x14ac:dyDescent="0.2">
      <c r="D29" s="762"/>
      <c r="E29" s="763"/>
    </row>
    <row r="30" spans="2:8" x14ac:dyDescent="0.2">
      <c r="D30" s="762"/>
      <c r="E30" s="763"/>
    </row>
    <row r="31" spans="2:8" x14ac:dyDescent="0.2">
      <c r="D31" s="762"/>
      <c r="E31" s="763"/>
    </row>
    <row r="32" spans="2:8" x14ac:dyDescent="0.2">
      <c r="D32" s="762"/>
      <c r="E32" s="763"/>
    </row>
    <row r="33" spans="4:5" x14ac:dyDescent="0.2">
      <c r="D33" s="762"/>
      <c r="E33" s="763"/>
    </row>
    <row r="34" spans="4:5" x14ac:dyDescent="0.2">
      <c r="D34" s="762"/>
      <c r="E34" s="763"/>
    </row>
    <row r="35" spans="4:5" ht="14.25" x14ac:dyDescent="0.2">
      <c r="D35" s="1282"/>
    </row>
    <row r="36" spans="4:5" ht="14.25" x14ac:dyDescent="0.2">
      <c r="D36" s="1282"/>
      <c r="E36" s="763"/>
    </row>
    <row r="37" spans="4:5" ht="14.25" x14ac:dyDescent="0.2">
      <c r="D37" s="1282"/>
    </row>
    <row r="38" spans="4:5" ht="14.25" x14ac:dyDescent="0.2">
      <c r="D38" s="1282"/>
      <c r="E38" s="763"/>
    </row>
    <row r="39" spans="4:5" x14ac:dyDescent="0.2">
      <c r="D39" s="1542"/>
      <c r="E39" s="763"/>
    </row>
    <row r="40" spans="4:5" x14ac:dyDescent="0.2">
      <c r="D40" s="762"/>
      <c r="E40" s="763"/>
    </row>
    <row r="41" spans="4:5" x14ac:dyDescent="0.2">
      <c r="D41" s="762"/>
      <c r="E41" s="763"/>
    </row>
    <row r="42" spans="4:5" x14ac:dyDescent="0.2">
      <c r="D42" s="762"/>
      <c r="E42" s="763"/>
    </row>
    <row r="43" spans="4:5" x14ac:dyDescent="0.2">
      <c r="D43" s="762"/>
      <c r="E43" s="763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6"/>
  <sheetViews>
    <sheetView workbookViewId="0">
      <selection activeCell="C21" sqref="C21"/>
    </sheetView>
  </sheetViews>
  <sheetFormatPr baseColWidth="10" defaultColWidth="11.42578125" defaultRowHeight="12.75" x14ac:dyDescent="0.2"/>
  <cols>
    <col min="1" max="1" width="13" style="1" bestFit="1" customWidth="1"/>
    <col min="2" max="2" width="7.28515625" style="1" bestFit="1" customWidth="1"/>
    <col min="3" max="3" width="7.42578125" style="1" bestFit="1" customWidth="1"/>
    <col min="4" max="8" width="7.28515625" style="1" customWidth="1"/>
    <col min="9" max="16384" width="11.42578125" style="1"/>
  </cols>
  <sheetData>
    <row r="1" spans="1:9" ht="15.75" x14ac:dyDescent="0.25">
      <c r="A1" s="1715" t="s">
        <v>13</v>
      </c>
      <c r="B1" s="1715"/>
      <c r="C1" s="1715"/>
      <c r="D1" s="1715"/>
      <c r="E1" s="1715"/>
      <c r="F1" s="1715"/>
      <c r="G1" s="1715"/>
      <c r="H1" s="1715"/>
    </row>
    <row r="2" spans="1:9" ht="15.75" x14ac:dyDescent="0.25">
      <c r="A2" s="1715" t="s">
        <v>14</v>
      </c>
      <c r="B2" s="1715"/>
      <c r="C2" s="1715"/>
      <c r="D2" s="1715"/>
      <c r="E2" s="1715"/>
      <c r="F2" s="1715"/>
      <c r="G2" s="1715"/>
      <c r="H2" s="1715"/>
    </row>
    <row r="3" spans="1:9" ht="16.5" thickBot="1" x14ac:dyDescent="0.3">
      <c r="A3" s="1714" t="s">
        <v>15</v>
      </c>
      <c r="B3" s="1714"/>
      <c r="C3" s="1714"/>
      <c r="D3" s="1714"/>
      <c r="E3" s="1714"/>
      <c r="F3" s="1714"/>
      <c r="G3" s="1714"/>
      <c r="H3" s="1714"/>
    </row>
    <row r="4" spans="1:9" x14ac:dyDescent="0.2">
      <c r="A4" s="2" t="s">
        <v>16</v>
      </c>
      <c r="B4" s="3" t="s">
        <v>17</v>
      </c>
      <c r="C4" s="3">
        <v>2021</v>
      </c>
      <c r="D4" s="4">
        <f>+C4+1</f>
        <v>2022</v>
      </c>
      <c r="E4" s="4">
        <f>+D4+1</f>
        <v>2023</v>
      </c>
      <c r="F4" s="4">
        <f>+E4+1</f>
        <v>2024</v>
      </c>
      <c r="G4" s="4">
        <f>+F4+1</f>
        <v>2025</v>
      </c>
      <c r="H4" s="4">
        <f>+G4+1</f>
        <v>2026</v>
      </c>
    </row>
    <row r="5" spans="1:9" x14ac:dyDescent="0.2">
      <c r="A5" s="5" t="s">
        <v>18</v>
      </c>
      <c r="B5" s="6" t="s">
        <v>19</v>
      </c>
      <c r="C5" s="17">
        <f>+'IMP Existente APROBADO'!E7</f>
        <v>1.8700000000000001E-2</v>
      </c>
      <c r="D5" s="15"/>
      <c r="E5" s="15"/>
      <c r="F5" s="15"/>
      <c r="G5" s="15"/>
      <c r="H5" s="16"/>
    </row>
    <row r="6" spans="1:9" x14ac:dyDescent="0.2">
      <c r="A6" s="5" t="s">
        <v>20</v>
      </c>
      <c r="B6" s="6" t="s">
        <v>19</v>
      </c>
      <c r="C6" s="17">
        <f>+'IMP Existente APROBADO'!E8</f>
        <v>1.32E-2</v>
      </c>
      <c r="D6" s="15"/>
      <c r="E6" s="15"/>
      <c r="F6" s="15"/>
      <c r="G6" s="15"/>
      <c r="H6" s="16"/>
    </row>
    <row r="7" spans="1:9" x14ac:dyDescent="0.2">
      <c r="A7" s="5" t="s">
        <v>21</v>
      </c>
      <c r="B7" s="6" t="s">
        <v>19</v>
      </c>
      <c r="C7" s="19">
        <f>+'IMP Existente APROBADO'!RRT</f>
        <v>7.2999999999999995E-2</v>
      </c>
      <c r="D7" s="182"/>
      <c r="E7" s="7"/>
      <c r="F7" s="7"/>
      <c r="G7" s="7"/>
      <c r="H7" s="8"/>
    </row>
    <row r="8" spans="1:9" ht="13.5" thickBot="1" x14ac:dyDescent="0.25">
      <c r="A8" s="9" t="s">
        <v>22</v>
      </c>
      <c r="B8" s="10" t="s">
        <v>19</v>
      </c>
      <c r="C8" s="22">
        <f>+'IMP Existente APROBADO'!D10</f>
        <v>3.3385882564188139E-2</v>
      </c>
      <c r="D8" s="11"/>
      <c r="E8" s="11"/>
      <c r="F8" s="11"/>
      <c r="G8" s="11"/>
      <c r="H8" s="12"/>
    </row>
    <row r="16" spans="1:9" x14ac:dyDescent="0.2">
      <c r="A16" s="13"/>
      <c r="I16" s="14"/>
    </row>
  </sheetData>
  <mergeCells count="3">
    <mergeCell ref="A3:H3"/>
    <mergeCell ref="A1:H1"/>
    <mergeCell ref="A2:H2"/>
  </mergeCells>
  <phoneticPr fontId="0" type="noConversion"/>
  <printOptions horizontalCentered="1" verticalCentered="1"/>
  <pageMargins left="0.75" right="0.75" top="1" bottom="0.53" header="0" footer="1.03"/>
  <pageSetup scale="125" orientation="landscape" horizontalDpi="300" verticalDpi="300" r:id="rId1"/>
  <headerFooter alignWithMargins="0">
    <oddFooter>&amp;LGerencia de Planificación/DAP/MRN Arcihvo: &amp;F, Hoja&amp;A&amp;R&amp;D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XFD286"/>
  <sheetViews>
    <sheetView topLeftCell="A46" workbookViewId="0">
      <selection activeCell="E166" sqref="E166"/>
    </sheetView>
  </sheetViews>
  <sheetFormatPr baseColWidth="10" defaultColWidth="11.42578125" defaultRowHeight="12.75" outlineLevelRow="2" outlineLevelCol="1" x14ac:dyDescent="0.2"/>
  <cols>
    <col min="1" max="1" width="3.5703125" style="662" customWidth="1" collapsed="1"/>
    <col min="2" max="2" width="69" style="662" customWidth="1" collapsed="1"/>
    <col min="3" max="3" width="17.140625" style="662" customWidth="1" outlineLevel="1" collapsed="1"/>
    <col min="4" max="4" width="16.7109375" style="662" customWidth="1"/>
    <col min="5" max="8" width="16.7109375" style="662" customWidth="1" collapsed="1"/>
    <col min="9" max="9" width="12.85546875" style="662" customWidth="1" collapsed="1"/>
    <col min="10" max="10" width="14.42578125" style="662" bestFit="1" customWidth="1" collapsed="1"/>
    <col min="11" max="16384" width="11.42578125" style="662" collapsed="1"/>
  </cols>
  <sheetData>
    <row r="1" spans="2:8" hidden="1" x14ac:dyDescent="0.2"/>
    <row r="2" spans="2:8" hidden="1" x14ac:dyDescent="0.2"/>
    <row r="3" spans="2:8" hidden="1" x14ac:dyDescent="0.2"/>
    <row r="4" spans="2:8" hidden="1" x14ac:dyDescent="0.2"/>
    <row r="5" spans="2:8" hidden="1" x14ac:dyDescent="0.2"/>
    <row r="6" spans="2:8" s="664" customFormat="1" x14ac:dyDescent="0.2">
      <c r="B6" s="663" t="s">
        <v>457</v>
      </c>
    </row>
    <row r="7" spans="2:8" x14ac:dyDescent="0.2">
      <c r="B7" s="673" t="s">
        <v>254</v>
      </c>
      <c r="C7" s="674"/>
      <c r="D7" s="674"/>
      <c r="E7" s="674"/>
      <c r="F7" s="674"/>
      <c r="G7" s="674"/>
      <c r="H7" s="674"/>
    </row>
    <row r="9" spans="2:8" x14ac:dyDescent="0.2">
      <c r="B9" s="675" t="s">
        <v>458</v>
      </c>
      <c r="C9" s="663">
        <v>2016</v>
      </c>
      <c r="D9" s="663">
        <v>2017</v>
      </c>
      <c r="E9" s="663">
        <v>2018</v>
      </c>
      <c r="F9" s="663">
        <v>2019</v>
      </c>
      <c r="G9" s="663">
        <v>2020</v>
      </c>
      <c r="H9" s="663">
        <v>2021</v>
      </c>
    </row>
    <row r="10" spans="2:8" x14ac:dyDescent="0.2">
      <c r="B10" s="662" t="s">
        <v>459</v>
      </c>
      <c r="C10" s="676">
        <v>3.4838098558625408E-2</v>
      </c>
      <c r="D10" s="676">
        <v>3.4838098558625408E-2</v>
      </c>
      <c r="E10" s="676">
        <v>3.4838098558625408E-2</v>
      </c>
      <c r="F10" s="676">
        <v>3.4838098558625408E-2</v>
      </c>
      <c r="G10" s="676">
        <v>3.4838098558625408E-2</v>
      </c>
      <c r="H10" s="676">
        <v>3.4838098558625408E-2</v>
      </c>
    </row>
    <row r="11" spans="2:8" x14ac:dyDescent="0.2">
      <c r="B11" s="662" t="s">
        <v>460</v>
      </c>
      <c r="C11" s="677"/>
      <c r="D11" s="678">
        <v>367674767.96403384</v>
      </c>
      <c r="E11" s="678">
        <v>367674767.96403384</v>
      </c>
      <c r="F11" s="678">
        <v>367674767.96403384</v>
      </c>
      <c r="G11" s="678">
        <v>367674767.96403384</v>
      </c>
      <c r="H11" s="678">
        <v>367674767.96403384</v>
      </c>
    </row>
    <row r="12" spans="2:8" x14ac:dyDescent="0.2">
      <c r="B12" s="662" t="s">
        <v>461</v>
      </c>
      <c r="C12" s="677"/>
      <c r="D12" s="678"/>
      <c r="E12" s="678"/>
      <c r="F12" s="678"/>
      <c r="G12" s="678"/>
      <c r="H12" s="678"/>
    </row>
    <row r="13" spans="2:8" x14ac:dyDescent="0.2">
      <c r="B13" s="662" t="s">
        <v>462</v>
      </c>
      <c r="C13" s="679"/>
      <c r="D13" s="678">
        <v>-12809089.803850738</v>
      </c>
      <c r="E13" s="678">
        <v>-12809089.803850738</v>
      </c>
      <c r="F13" s="678">
        <v>-12809089.803850738</v>
      </c>
      <c r="G13" s="678">
        <v>-12809089.803850738</v>
      </c>
      <c r="H13" s="678">
        <v>-12809089.803850738</v>
      </c>
    </row>
    <row r="14" spans="2:8" x14ac:dyDescent="0.2">
      <c r="B14" s="662" t="s">
        <v>463</v>
      </c>
      <c r="C14" s="680">
        <v>367674767.96403384</v>
      </c>
      <c r="D14" s="678">
        <v>367674767.96403384</v>
      </c>
      <c r="E14" s="678">
        <v>367674767.96403384</v>
      </c>
      <c r="F14" s="678">
        <v>367674767.96403384</v>
      </c>
      <c r="G14" s="678">
        <v>367674767.96403384</v>
      </c>
      <c r="H14" s="678">
        <v>367674767.96403384</v>
      </c>
    </row>
    <row r="15" spans="2:8" x14ac:dyDescent="0.2">
      <c r="B15" s="662" t="s">
        <v>464</v>
      </c>
      <c r="C15" s="680">
        <v>195204624.1240339</v>
      </c>
      <c r="D15" s="678">
        <v>182395534.32018313</v>
      </c>
      <c r="E15" s="678">
        <v>169586444.51633239</v>
      </c>
      <c r="F15" s="678">
        <v>156777354.71248165</v>
      </c>
      <c r="G15" s="678">
        <v>143968264.90863091</v>
      </c>
      <c r="H15" s="678">
        <v>131159175.10478017</v>
      </c>
    </row>
    <row r="16" spans="2:8" x14ac:dyDescent="0.2">
      <c r="B16" s="662" t="s">
        <v>465</v>
      </c>
      <c r="C16" s="680">
        <v>-172470143.84</v>
      </c>
      <c r="D16" s="678">
        <v>-185279233.64385074</v>
      </c>
      <c r="E16" s="678">
        <v>-198088323.44770148</v>
      </c>
      <c r="F16" s="678">
        <v>-210897413.25155222</v>
      </c>
      <c r="G16" s="678">
        <v>-223706503.05540296</v>
      </c>
      <c r="H16" s="678">
        <v>-236515592.8592537</v>
      </c>
    </row>
    <row r="17" spans="2:10" x14ac:dyDescent="0.2">
      <c r="B17" s="662" t="s">
        <v>466</v>
      </c>
      <c r="C17" s="678">
        <v>195204625</v>
      </c>
      <c r="D17" s="678">
        <v>182395535</v>
      </c>
      <c r="E17" s="678">
        <v>169586445</v>
      </c>
      <c r="F17" s="678">
        <v>156777355</v>
      </c>
      <c r="G17" s="678">
        <v>143968265</v>
      </c>
      <c r="H17" s="678">
        <v>131159176</v>
      </c>
    </row>
    <row r="18" spans="2:10" x14ac:dyDescent="0.2">
      <c r="C18" s="678"/>
      <c r="D18" s="678"/>
      <c r="E18" s="678"/>
      <c r="F18" s="678"/>
      <c r="G18" s="678"/>
      <c r="H18" s="678"/>
    </row>
    <row r="19" spans="2:10" outlineLevel="2" x14ac:dyDescent="0.2">
      <c r="B19" s="675" t="s">
        <v>467</v>
      </c>
      <c r="C19" s="663">
        <v>2016</v>
      </c>
      <c r="D19" s="663">
        <v>2017</v>
      </c>
      <c r="E19" s="663">
        <v>2018</v>
      </c>
      <c r="F19" s="663">
        <v>2019</v>
      </c>
      <c r="G19" s="663">
        <v>2020</v>
      </c>
      <c r="H19" s="663">
        <v>2021</v>
      </c>
    </row>
    <row r="20" spans="2:10" outlineLevel="2" x14ac:dyDescent="0.2">
      <c r="B20" s="662" t="s">
        <v>459</v>
      </c>
      <c r="C20" s="681">
        <v>3.4838098558625408E-2</v>
      </c>
      <c r="D20" s="681">
        <v>3.4838098558625408E-2</v>
      </c>
      <c r="E20" s="681">
        <v>3.4838098558625408E-2</v>
      </c>
      <c r="F20" s="681">
        <v>3.4838098558625408E-2</v>
      </c>
      <c r="G20" s="681">
        <v>3.4838098558625408E-2</v>
      </c>
      <c r="H20" s="681">
        <v>3.4838098558625408E-2</v>
      </c>
    </row>
    <row r="21" spans="2:10" outlineLevel="2" x14ac:dyDescent="0.2">
      <c r="B21" s="662" t="s">
        <v>460</v>
      </c>
      <c r="C21" s="678"/>
      <c r="D21" s="678">
        <v>0</v>
      </c>
      <c r="E21" s="678">
        <v>0</v>
      </c>
      <c r="F21" s="678">
        <v>0</v>
      </c>
      <c r="G21" s="678">
        <v>0</v>
      </c>
      <c r="H21" s="678">
        <v>0</v>
      </c>
    </row>
    <row r="22" spans="2:10" outlineLevel="2" x14ac:dyDescent="0.2">
      <c r="B22" s="662" t="s">
        <v>461</v>
      </c>
      <c r="C22" s="678"/>
      <c r="D22" s="678"/>
      <c r="E22" s="678"/>
      <c r="F22" s="678"/>
      <c r="G22" s="678"/>
      <c r="H22" s="678"/>
    </row>
    <row r="23" spans="2:10" outlineLevel="2" x14ac:dyDescent="0.2">
      <c r="B23" s="662" t="s">
        <v>462</v>
      </c>
      <c r="C23" s="678"/>
      <c r="D23" s="678">
        <v>0</v>
      </c>
      <c r="E23" s="678">
        <v>0</v>
      </c>
      <c r="F23" s="678">
        <v>0</v>
      </c>
      <c r="G23" s="678">
        <v>0</v>
      </c>
      <c r="H23" s="678">
        <v>0</v>
      </c>
    </row>
    <row r="24" spans="2:10" outlineLevel="2" x14ac:dyDescent="0.2">
      <c r="B24" s="662" t="s">
        <v>463</v>
      </c>
      <c r="C24" s="680">
        <v>0</v>
      </c>
      <c r="D24" s="678">
        <v>0</v>
      </c>
      <c r="E24" s="678">
        <v>0</v>
      </c>
      <c r="F24" s="678">
        <v>0</v>
      </c>
      <c r="G24" s="678">
        <v>0</v>
      </c>
      <c r="H24" s="678">
        <v>0</v>
      </c>
    </row>
    <row r="25" spans="2:10" outlineLevel="2" x14ac:dyDescent="0.2">
      <c r="B25" s="662" t="s">
        <v>464</v>
      </c>
      <c r="C25" s="678">
        <v>0</v>
      </c>
      <c r="D25" s="678">
        <v>0</v>
      </c>
      <c r="E25" s="678">
        <v>0</v>
      </c>
      <c r="F25" s="678">
        <v>0</v>
      </c>
      <c r="G25" s="678">
        <v>0</v>
      </c>
      <c r="H25" s="678">
        <v>0</v>
      </c>
    </row>
    <row r="26" spans="2:10" outlineLevel="2" x14ac:dyDescent="0.2">
      <c r="B26" s="662" t="s">
        <v>465</v>
      </c>
      <c r="C26" s="678">
        <v>0</v>
      </c>
      <c r="D26" s="678">
        <v>0</v>
      </c>
      <c r="E26" s="678">
        <v>0</v>
      </c>
      <c r="F26" s="678">
        <v>0</v>
      </c>
      <c r="G26" s="678">
        <v>0</v>
      </c>
      <c r="H26" s="678">
        <v>0</v>
      </c>
    </row>
    <row r="27" spans="2:10" outlineLevel="2" x14ac:dyDescent="0.2">
      <c r="B27" s="662" t="s">
        <v>466</v>
      </c>
      <c r="C27" s="678"/>
      <c r="D27" s="678">
        <v>0</v>
      </c>
      <c r="E27" s="678">
        <v>0</v>
      </c>
      <c r="F27" s="678">
        <v>0</v>
      </c>
      <c r="G27" s="678">
        <v>0</v>
      </c>
      <c r="H27" s="678">
        <v>0</v>
      </c>
    </row>
    <row r="28" spans="2:10" outlineLevel="2" x14ac:dyDescent="0.2">
      <c r="C28" s="678"/>
      <c r="D28" s="678"/>
      <c r="E28" s="678"/>
      <c r="F28" s="678"/>
      <c r="G28" s="678"/>
      <c r="H28" s="678"/>
    </row>
    <row r="29" spans="2:10" outlineLevel="1" x14ac:dyDescent="0.2">
      <c r="B29" s="675" t="s">
        <v>468</v>
      </c>
      <c r="C29" s="663">
        <v>2016</v>
      </c>
      <c r="D29" s="663">
        <v>2017</v>
      </c>
      <c r="E29" s="663">
        <v>2018</v>
      </c>
      <c r="F29" s="663">
        <v>2019</v>
      </c>
      <c r="G29" s="663">
        <v>2020</v>
      </c>
      <c r="H29" s="663">
        <v>2021</v>
      </c>
    </row>
    <row r="30" spans="2:10" outlineLevel="1" x14ac:dyDescent="0.2">
      <c r="B30" s="682" t="s">
        <v>469</v>
      </c>
      <c r="C30" s="678"/>
      <c r="D30" s="680">
        <v>345480168</v>
      </c>
      <c r="E30" s="680">
        <v>0</v>
      </c>
      <c r="F30" s="683">
        <v>0</v>
      </c>
      <c r="G30" s="683">
        <v>0</v>
      </c>
      <c r="H30" s="683">
        <v>0</v>
      </c>
      <c r="J30" s="678"/>
    </row>
    <row r="31" spans="2:10" outlineLevel="1" x14ac:dyDescent="0.2">
      <c r="B31" s="662" t="s">
        <v>470</v>
      </c>
      <c r="C31" s="678"/>
      <c r="D31" s="680">
        <v>173114761.68767121</v>
      </c>
      <c r="E31" s="680">
        <v>0</v>
      </c>
      <c r="F31" s="680">
        <v>0</v>
      </c>
      <c r="G31" s="680">
        <v>0</v>
      </c>
      <c r="H31" s="680">
        <v>0</v>
      </c>
      <c r="J31" s="678"/>
    </row>
    <row r="32" spans="2:10" outlineLevel="1" x14ac:dyDescent="0.2">
      <c r="B32" s="682" t="s">
        <v>471</v>
      </c>
      <c r="C32" s="678"/>
      <c r="D32" s="681">
        <v>3.4838098558625408E-2</v>
      </c>
      <c r="E32" s="681">
        <v>3.4838098558625408E-2</v>
      </c>
      <c r="F32" s="681">
        <v>3.4838098558625408E-2</v>
      </c>
      <c r="G32" s="681">
        <v>3.4838098558625408E-2</v>
      </c>
      <c r="H32" s="681">
        <v>3.4838098558625408E-2</v>
      </c>
      <c r="J32" s="678"/>
    </row>
    <row r="33" spans="2:8" outlineLevel="1" x14ac:dyDescent="0.2">
      <c r="B33" s="682" t="s">
        <v>461</v>
      </c>
      <c r="C33" s="678"/>
      <c r="D33" s="678">
        <v>0</v>
      </c>
      <c r="E33" s="678">
        <v>339449178.87037194</v>
      </c>
      <c r="F33" s="678">
        <v>327413306.72753745</v>
      </c>
      <c r="G33" s="678">
        <v>315377434.58470297</v>
      </c>
      <c r="H33" s="678">
        <v>303341562.44186848</v>
      </c>
    </row>
    <row r="34" spans="2:8" outlineLevel="1" x14ac:dyDescent="0.2">
      <c r="B34" s="682" t="s">
        <v>462</v>
      </c>
      <c r="C34" s="678"/>
      <c r="D34" s="678">
        <v>-6030989.1296280399</v>
      </c>
      <c r="E34" s="678">
        <v>-12035872.142834464</v>
      </c>
      <c r="F34" s="678">
        <v>-12035872.142834464</v>
      </c>
      <c r="G34" s="678">
        <v>-12035872.142834464</v>
      </c>
      <c r="H34" s="678">
        <v>-12035872.142834464</v>
      </c>
    </row>
    <row r="35" spans="2:8" outlineLevel="1" x14ac:dyDescent="0.2">
      <c r="B35" s="682" t="s">
        <v>464</v>
      </c>
      <c r="C35" s="678"/>
      <c r="D35" s="678">
        <v>339449178.87037194</v>
      </c>
      <c r="E35" s="678">
        <v>327413306.72753745</v>
      </c>
      <c r="F35" s="678">
        <v>315377434.58470297</v>
      </c>
      <c r="G35" s="678">
        <v>303341562.44186848</v>
      </c>
      <c r="H35" s="678">
        <v>291305690.299034</v>
      </c>
    </row>
    <row r="36" spans="2:8" outlineLevel="1" x14ac:dyDescent="0.2">
      <c r="B36" s="682" t="s">
        <v>463</v>
      </c>
      <c r="C36" s="678"/>
      <c r="D36" s="678">
        <v>345480168</v>
      </c>
      <c r="E36" s="678">
        <v>345480168</v>
      </c>
      <c r="F36" s="678">
        <v>345480168</v>
      </c>
      <c r="G36" s="678">
        <v>345480168</v>
      </c>
      <c r="H36" s="678">
        <v>345480168</v>
      </c>
    </row>
    <row r="37" spans="2:8" outlineLevel="1" x14ac:dyDescent="0.2">
      <c r="C37" s="678"/>
      <c r="D37" s="684"/>
      <c r="E37" s="678"/>
      <c r="F37" s="678"/>
      <c r="G37" s="678"/>
      <c r="H37" s="678"/>
    </row>
    <row r="38" spans="2:8" x14ac:dyDescent="0.2">
      <c r="B38" s="675" t="s">
        <v>472</v>
      </c>
      <c r="C38" s="663">
        <v>2016</v>
      </c>
      <c r="D38" s="663">
        <v>2017</v>
      </c>
      <c r="E38" s="663">
        <v>2018</v>
      </c>
      <c r="F38" s="663">
        <v>2019</v>
      </c>
      <c r="G38" s="663">
        <v>2020</v>
      </c>
      <c r="H38" s="663">
        <v>2021</v>
      </c>
    </row>
    <row r="39" spans="2:8" x14ac:dyDescent="0.2">
      <c r="B39" s="685" t="s">
        <v>459</v>
      </c>
      <c r="C39" s="676">
        <v>5.8382511060031415E-2</v>
      </c>
      <c r="D39" s="676">
        <v>5.8382511060031415E-2</v>
      </c>
      <c r="E39" s="676">
        <v>5.8382511060031415E-2</v>
      </c>
      <c r="F39" s="676">
        <v>5.8382511060031415E-2</v>
      </c>
      <c r="G39" s="676">
        <v>5.8382511060031415E-2</v>
      </c>
      <c r="H39" s="676">
        <v>5.8382511060031415E-2</v>
      </c>
    </row>
    <row r="40" spans="2:8" x14ac:dyDescent="0.2">
      <c r="B40" s="685" t="s">
        <v>473</v>
      </c>
      <c r="C40" s="686">
        <v>0.02</v>
      </c>
      <c r="D40" s="686">
        <v>0.02</v>
      </c>
      <c r="E40" s="686">
        <v>0.02</v>
      </c>
      <c r="F40" s="686">
        <v>0.02</v>
      </c>
      <c r="G40" s="686">
        <v>0.02</v>
      </c>
      <c r="H40" s="686">
        <v>0.02</v>
      </c>
    </row>
    <row r="41" spans="2:8" x14ac:dyDescent="0.2">
      <c r="B41" s="685" t="s">
        <v>460</v>
      </c>
      <c r="C41" s="677"/>
      <c r="D41" s="678">
        <v>45644352</v>
      </c>
      <c r="E41" s="678">
        <v>45644352</v>
      </c>
      <c r="F41" s="678">
        <v>45644352</v>
      </c>
      <c r="G41" s="678">
        <v>45644352</v>
      </c>
      <c r="H41" s="678">
        <v>45644352</v>
      </c>
    </row>
    <row r="42" spans="2:8" x14ac:dyDescent="0.2">
      <c r="B42" s="685" t="s">
        <v>461</v>
      </c>
      <c r="C42" s="677"/>
      <c r="D42" s="678">
        <v>9055342</v>
      </c>
      <c r="E42" s="678">
        <v>6390510.1145320311</v>
      </c>
      <c r="F42" s="678">
        <v>3725678.2290640622</v>
      </c>
      <c r="G42" s="678">
        <v>1060846.3435960934</v>
      </c>
      <c r="H42" s="678">
        <v>-1603985.5418718755</v>
      </c>
    </row>
    <row r="43" spans="2:8" x14ac:dyDescent="0.2">
      <c r="B43" s="685" t="s">
        <v>462</v>
      </c>
      <c r="C43" s="677"/>
      <c r="D43" s="678">
        <v>-2664831.885467967</v>
      </c>
      <c r="E43" s="678">
        <v>-2664831.885467967</v>
      </c>
      <c r="F43" s="678">
        <v>-2664831.885467967</v>
      </c>
      <c r="G43" s="678">
        <v>-2664831.885467967</v>
      </c>
      <c r="H43" s="678">
        <v>-2664831.885467967</v>
      </c>
    </row>
    <row r="44" spans="2:8" x14ac:dyDescent="0.2">
      <c r="B44" s="685" t="s">
        <v>474</v>
      </c>
      <c r="C44" s="677"/>
      <c r="D44" s="678"/>
      <c r="E44" s="678"/>
      <c r="F44" s="678"/>
      <c r="G44" s="678"/>
      <c r="H44" s="678"/>
    </row>
    <row r="45" spans="2:8" x14ac:dyDescent="0.2">
      <c r="B45" s="685" t="s">
        <v>463</v>
      </c>
      <c r="C45" s="678">
        <v>45644352</v>
      </c>
      <c r="D45" s="678">
        <v>45644352</v>
      </c>
      <c r="E45" s="678">
        <v>45644352</v>
      </c>
      <c r="F45" s="678">
        <v>45644352</v>
      </c>
      <c r="G45" s="678">
        <v>45644352</v>
      </c>
      <c r="H45" s="678">
        <v>45644352</v>
      </c>
    </row>
    <row r="46" spans="2:8" x14ac:dyDescent="0.2">
      <c r="B46" s="685" t="s">
        <v>465</v>
      </c>
      <c r="C46" s="678">
        <v>-36589010</v>
      </c>
      <c r="D46" s="678">
        <v>-39253841.885467969</v>
      </c>
      <c r="E46" s="678">
        <v>-41918673.770935938</v>
      </c>
      <c r="F46" s="678">
        <v>-44583505.656403907</v>
      </c>
      <c r="G46" s="678">
        <v>-47248337.541871876</v>
      </c>
      <c r="H46" s="678">
        <v>-49913169.427339844</v>
      </c>
    </row>
    <row r="47" spans="2:8" x14ac:dyDescent="0.2">
      <c r="B47" s="685" t="s">
        <v>464</v>
      </c>
      <c r="C47" s="678">
        <v>9055342</v>
      </c>
      <c r="D47" s="678">
        <v>6390510.1145320311</v>
      </c>
      <c r="E47" s="678">
        <v>3725678.2290640622</v>
      </c>
      <c r="F47" s="678">
        <v>1060846.3435960934</v>
      </c>
      <c r="G47" s="678">
        <v>-1603985.5418718755</v>
      </c>
      <c r="H47" s="678">
        <v>-4268817.4273398444</v>
      </c>
    </row>
    <row r="48" spans="2:8" x14ac:dyDescent="0.2">
      <c r="B48" s="685"/>
      <c r="C48" s="678"/>
      <c r="D48" s="678"/>
      <c r="E48" s="678"/>
      <c r="F48" s="678"/>
      <c r="G48" s="678"/>
      <c r="H48" s="678"/>
    </row>
    <row r="49" spans="2:8" x14ac:dyDescent="0.2">
      <c r="B49" s="675" t="s">
        <v>475</v>
      </c>
      <c r="C49" s="663">
        <v>2016</v>
      </c>
      <c r="D49" s="663">
        <v>2017</v>
      </c>
      <c r="E49" s="663">
        <v>2018</v>
      </c>
      <c r="F49" s="663">
        <v>2019</v>
      </c>
      <c r="G49" s="663">
        <v>2020</v>
      </c>
      <c r="H49" s="663">
        <v>2021</v>
      </c>
    </row>
    <row r="50" spans="2:8" x14ac:dyDescent="0.2">
      <c r="B50" s="685" t="s">
        <v>459</v>
      </c>
      <c r="C50" s="687">
        <v>3.4838098558625408E-2</v>
      </c>
      <c r="D50" s="687">
        <v>3.4838098558625408E-2</v>
      </c>
      <c r="E50" s="687">
        <v>3.4838098558625408E-2</v>
      </c>
      <c r="F50" s="687">
        <v>3.4838098558625408E-2</v>
      </c>
      <c r="G50" s="687">
        <v>3.4838098558625408E-2</v>
      </c>
      <c r="H50" s="687">
        <v>3.4838098558625408E-2</v>
      </c>
    </row>
    <row r="51" spans="2:8" x14ac:dyDescent="0.2">
      <c r="B51" s="685" t="s">
        <v>473</v>
      </c>
      <c r="C51" s="686">
        <v>0.02</v>
      </c>
      <c r="D51" s="686">
        <v>0.02</v>
      </c>
      <c r="E51" s="686">
        <v>0.02</v>
      </c>
      <c r="F51" s="686">
        <v>0.02</v>
      </c>
      <c r="G51" s="686">
        <v>0.02</v>
      </c>
      <c r="H51" s="686">
        <v>0.02</v>
      </c>
    </row>
    <row r="52" spans="2:8" x14ac:dyDescent="0.2">
      <c r="B52" s="685" t="s">
        <v>460</v>
      </c>
      <c r="C52" s="677"/>
      <c r="D52" s="678">
        <v>0</v>
      </c>
      <c r="E52" s="678">
        <v>0</v>
      </c>
      <c r="F52" s="678">
        <v>0</v>
      </c>
      <c r="G52" s="678">
        <v>0</v>
      </c>
      <c r="H52" s="678">
        <v>0</v>
      </c>
    </row>
    <row r="53" spans="2:8" x14ac:dyDescent="0.2">
      <c r="B53" s="685" t="s">
        <v>461</v>
      </c>
      <c r="C53" s="677"/>
      <c r="D53" s="678">
        <v>0</v>
      </c>
      <c r="E53" s="678">
        <v>0</v>
      </c>
      <c r="F53" s="678">
        <v>0</v>
      </c>
      <c r="G53" s="678">
        <v>0</v>
      </c>
      <c r="H53" s="678">
        <v>0</v>
      </c>
    </row>
    <row r="54" spans="2:8" x14ac:dyDescent="0.2">
      <c r="B54" s="685" t="s">
        <v>462</v>
      </c>
      <c r="C54" s="677"/>
      <c r="D54" s="678">
        <v>0</v>
      </c>
      <c r="E54" s="678">
        <v>0</v>
      </c>
      <c r="F54" s="678">
        <v>0</v>
      </c>
      <c r="G54" s="678">
        <v>0</v>
      </c>
      <c r="H54" s="678">
        <v>0</v>
      </c>
    </row>
    <row r="55" spans="2:8" x14ac:dyDescent="0.2">
      <c r="B55" s="685" t="s">
        <v>474</v>
      </c>
      <c r="C55" s="677"/>
      <c r="D55" s="678"/>
      <c r="E55" s="678"/>
      <c r="F55" s="678"/>
      <c r="G55" s="678"/>
      <c r="H55" s="678"/>
    </row>
    <row r="56" spans="2:8" x14ac:dyDescent="0.2">
      <c r="B56" s="685" t="s">
        <v>463</v>
      </c>
      <c r="C56" s="678"/>
      <c r="D56" s="678">
        <v>0</v>
      </c>
      <c r="E56" s="678">
        <v>0</v>
      </c>
      <c r="F56" s="678">
        <v>0</v>
      </c>
      <c r="G56" s="678">
        <v>0</v>
      </c>
      <c r="H56" s="678">
        <v>0</v>
      </c>
    </row>
    <row r="57" spans="2:8" x14ac:dyDescent="0.2">
      <c r="B57" s="685" t="s">
        <v>465</v>
      </c>
      <c r="C57" s="678"/>
      <c r="D57" s="678">
        <v>0</v>
      </c>
      <c r="E57" s="678">
        <v>0</v>
      </c>
      <c r="F57" s="678">
        <v>0</v>
      </c>
      <c r="G57" s="678">
        <v>0</v>
      </c>
      <c r="H57" s="678">
        <v>0</v>
      </c>
    </row>
    <row r="58" spans="2:8" x14ac:dyDescent="0.2">
      <c r="B58" s="685" t="s">
        <v>464</v>
      </c>
      <c r="C58" s="678"/>
      <c r="D58" s="678">
        <v>0</v>
      </c>
      <c r="E58" s="678">
        <v>0</v>
      </c>
      <c r="F58" s="678">
        <v>0</v>
      </c>
      <c r="G58" s="678">
        <v>0</v>
      </c>
      <c r="H58" s="678">
        <v>0</v>
      </c>
    </row>
    <row r="59" spans="2:8" x14ac:dyDescent="0.2">
      <c r="B59" s="688" t="s">
        <v>476</v>
      </c>
      <c r="C59" s="678"/>
      <c r="D59" s="678"/>
      <c r="E59" s="678"/>
      <c r="F59" s="678"/>
      <c r="G59" s="678"/>
      <c r="H59" s="678"/>
    </row>
    <row r="60" spans="2:8" x14ac:dyDescent="0.2">
      <c r="B60" s="685"/>
      <c r="C60" s="678"/>
      <c r="D60" s="678"/>
      <c r="E60" s="678"/>
      <c r="F60" s="678"/>
      <c r="G60" s="678"/>
      <c r="H60" s="678"/>
    </row>
    <row r="61" spans="2:8" x14ac:dyDescent="0.2">
      <c r="B61" s="675" t="s">
        <v>477</v>
      </c>
      <c r="C61" s="663">
        <v>2016</v>
      </c>
      <c r="D61" s="663">
        <v>2017</v>
      </c>
      <c r="E61" s="663">
        <v>2018</v>
      </c>
      <c r="F61" s="663">
        <v>2019</v>
      </c>
      <c r="G61" s="663">
        <v>2020</v>
      </c>
      <c r="H61" s="663">
        <v>2021</v>
      </c>
    </row>
    <row r="62" spans="2:8" x14ac:dyDescent="0.2">
      <c r="B62" s="662" t="s">
        <v>464</v>
      </c>
      <c r="C62" s="678">
        <v>204259966.1240339</v>
      </c>
      <c r="D62" s="678">
        <v>188786044.43471515</v>
      </c>
      <c r="E62" s="678">
        <v>173312122.74539644</v>
      </c>
      <c r="F62" s="678">
        <v>157838201.05607775</v>
      </c>
      <c r="G62" s="678">
        <v>142364279.36675903</v>
      </c>
      <c r="H62" s="678">
        <v>126890357.67744032</v>
      </c>
    </row>
    <row r="63" spans="2:8" x14ac:dyDescent="0.2">
      <c r="B63" s="662" t="s">
        <v>462</v>
      </c>
      <c r="C63" s="678">
        <v>0</v>
      </c>
      <c r="D63" s="678">
        <v>-15473921.689318705</v>
      </c>
      <c r="E63" s="678">
        <v>-15473921.689318705</v>
      </c>
      <c r="F63" s="678">
        <v>-15473921.689318705</v>
      </c>
      <c r="G63" s="678">
        <v>-15473921.689318705</v>
      </c>
      <c r="H63" s="678">
        <v>-15473921.689318705</v>
      </c>
    </row>
    <row r="64" spans="2:8" x14ac:dyDescent="0.2">
      <c r="B64" s="662" t="s">
        <v>463</v>
      </c>
      <c r="C64" s="678">
        <v>413319119.96403384</v>
      </c>
      <c r="D64" s="678">
        <v>413319119.96403384</v>
      </c>
      <c r="E64" s="678">
        <v>413319119.96403384</v>
      </c>
      <c r="F64" s="678">
        <v>413319119.96403384</v>
      </c>
      <c r="G64" s="678">
        <v>413319119.96403384</v>
      </c>
      <c r="H64" s="678">
        <v>413319119.96403384</v>
      </c>
    </row>
    <row r="65" spans="2:8" x14ac:dyDescent="0.2">
      <c r="B65" s="675" t="s">
        <v>478</v>
      </c>
      <c r="C65" s="663">
        <v>2016</v>
      </c>
      <c r="D65" s="663">
        <v>2017</v>
      </c>
      <c r="E65" s="663">
        <v>2018</v>
      </c>
      <c r="F65" s="663">
        <v>2019</v>
      </c>
      <c r="G65" s="663">
        <v>2020</v>
      </c>
      <c r="H65" s="663">
        <v>2021</v>
      </c>
    </row>
    <row r="66" spans="2:8" x14ac:dyDescent="0.2">
      <c r="B66" s="662" t="s">
        <v>464</v>
      </c>
      <c r="C66" s="678">
        <v>0</v>
      </c>
      <c r="D66" s="678">
        <v>339449178.87037194</v>
      </c>
      <c r="E66" s="678">
        <v>327413306.72753745</v>
      </c>
      <c r="F66" s="678">
        <v>315377434.58470297</v>
      </c>
      <c r="G66" s="678">
        <v>303341562.44186848</v>
      </c>
      <c r="H66" s="678">
        <v>291305690.299034</v>
      </c>
    </row>
    <row r="67" spans="2:8" x14ac:dyDescent="0.2">
      <c r="B67" s="662" t="s">
        <v>462</v>
      </c>
      <c r="C67" s="678">
        <v>0</v>
      </c>
      <c r="D67" s="678">
        <v>-6030989.1296280399</v>
      </c>
      <c r="E67" s="678">
        <v>-12035872.142834464</v>
      </c>
      <c r="F67" s="678">
        <v>-12035872.142834464</v>
      </c>
      <c r="G67" s="678">
        <v>-12035872.142834464</v>
      </c>
      <c r="H67" s="678">
        <v>-12035872.142834464</v>
      </c>
    </row>
    <row r="68" spans="2:8" x14ac:dyDescent="0.2">
      <c r="B68" s="662" t="s">
        <v>463</v>
      </c>
      <c r="C68" s="678">
        <v>0</v>
      </c>
      <c r="D68" s="678">
        <v>345480168</v>
      </c>
      <c r="E68" s="678">
        <v>345480168</v>
      </c>
      <c r="F68" s="678">
        <v>345480168</v>
      </c>
      <c r="G68" s="678">
        <v>345480168</v>
      </c>
      <c r="H68" s="678">
        <v>345480168</v>
      </c>
    </row>
    <row r="69" spans="2:8" x14ac:dyDescent="0.2">
      <c r="B69" s="662" t="s">
        <v>470</v>
      </c>
      <c r="C69" s="678">
        <v>0</v>
      </c>
      <c r="D69" s="678">
        <v>173114761.68767121</v>
      </c>
      <c r="E69" s="678">
        <v>0</v>
      </c>
      <c r="F69" s="678">
        <v>0</v>
      </c>
      <c r="G69" s="678">
        <v>0</v>
      </c>
      <c r="H69" s="678">
        <v>0</v>
      </c>
    </row>
    <row r="70" spans="2:8" x14ac:dyDescent="0.2">
      <c r="C70" s="678"/>
      <c r="D70" s="678"/>
      <c r="E70" s="678"/>
      <c r="F70" s="678"/>
      <c r="G70" s="678"/>
      <c r="H70" s="678"/>
    </row>
    <row r="71" spans="2:8" s="664" customFormat="1" hidden="1" x14ac:dyDescent="0.2">
      <c r="B71" s="663" t="s">
        <v>479</v>
      </c>
    </row>
    <row r="72" spans="2:8" hidden="1" x14ac:dyDescent="0.2">
      <c r="C72" s="678"/>
      <c r="D72" s="678"/>
      <c r="E72" s="678"/>
      <c r="F72" s="678"/>
      <c r="G72" s="678"/>
      <c r="H72" s="678"/>
    </row>
    <row r="73" spans="2:8" hidden="1" x14ac:dyDescent="0.2">
      <c r="B73" s="689" t="s">
        <v>480</v>
      </c>
      <c r="C73" s="690">
        <v>3.5000000000000003E-2</v>
      </c>
    </row>
    <row r="74" spans="2:8" hidden="1" x14ac:dyDescent="0.2">
      <c r="B74" s="691" t="s">
        <v>481</v>
      </c>
    </row>
    <row r="75" spans="2:8" hidden="1" x14ac:dyDescent="0.2">
      <c r="B75" s="692" t="s">
        <v>482</v>
      </c>
      <c r="C75" s="693">
        <v>0.7</v>
      </c>
    </row>
    <row r="76" spans="2:8" hidden="1" x14ac:dyDescent="0.2">
      <c r="B76" s="692" t="s">
        <v>483</v>
      </c>
      <c r="C76" s="694">
        <v>0.30000000000000004</v>
      </c>
    </row>
    <row r="77" spans="2:8" hidden="1" x14ac:dyDescent="0.2"/>
    <row r="78" spans="2:8" hidden="1" x14ac:dyDescent="0.2">
      <c r="B78" s="695"/>
      <c r="C78" s="696">
        <v>2016</v>
      </c>
      <c r="D78" s="696">
        <v>2017</v>
      </c>
      <c r="E78" s="696">
        <v>2018</v>
      </c>
      <c r="F78" s="696">
        <v>2019</v>
      </c>
      <c r="G78" s="696">
        <v>2020</v>
      </c>
      <c r="H78" s="696">
        <v>2021</v>
      </c>
    </row>
    <row r="79" spans="2:8" hidden="1" x14ac:dyDescent="0.2">
      <c r="B79" s="697" t="s">
        <v>484</v>
      </c>
      <c r="C79" s="677"/>
      <c r="D79" s="680">
        <v>1892000</v>
      </c>
      <c r="E79" s="680">
        <v>95586000</v>
      </c>
      <c r="F79" s="680">
        <v>239222000</v>
      </c>
      <c r="G79" s="680">
        <v>99604000</v>
      </c>
      <c r="H79" s="680">
        <v>764000</v>
      </c>
    </row>
    <row r="80" spans="2:8" hidden="1" x14ac:dyDescent="0.2">
      <c r="B80" s="697" t="s">
        <v>485</v>
      </c>
      <c r="C80" s="677"/>
      <c r="D80" s="680">
        <v>0</v>
      </c>
      <c r="E80" s="680">
        <v>49000</v>
      </c>
      <c r="F80" s="680">
        <v>88000</v>
      </c>
      <c r="G80" s="680">
        <v>612000</v>
      </c>
      <c r="H80" s="680">
        <v>824000</v>
      </c>
    </row>
    <row r="81" spans="2:8" hidden="1" x14ac:dyDescent="0.2">
      <c r="B81" s="697" t="s">
        <v>486</v>
      </c>
      <c r="C81" s="677"/>
      <c r="D81" s="680">
        <v>0</v>
      </c>
      <c r="E81" s="680">
        <v>88000</v>
      </c>
      <c r="F81" s="680">
        <v>0</v>
      </c>
      <c r="G81" s="680">
        <v>0</v>
      </c>
      <c r="H81" s="680">
        <v>0</v>
      </c>
    </row>
    <row r="82" spans="2:8" hidden="1" x14ac:dyDescent="0.2">
      <c r="B82" s="697" t="s">
        <v>471</v>
      </c>
      <c r="C82" s="677"/>
      <c r="D82" s="698">
        <v>3.5000000000000003E-2</v>
      </c>
      <c r="E82" s="698">
        <v>3.5000000000000003E-2</v>
      </c>
      <c r="F82" s="698">
        <v>3.5000000000000003E-2</v>
      </c>
      <c r="G82" s="698">
        <v>3.5000000000000003E-2</v>
      </c>
      <c r="H82" s="698">
        <v>3.5000000000000003E-2</v>
      </c>
    </row>
    <row r="83" spans="2:8" hidden="1" x14ac:dyDescent="0.2">
      <c r="B83" s="697" t="s">
        <v>461</v>
      </c>
      <c r="C83" s="677"/>
      <c r="D83" s="678">
        <v>0</v>
      </c>
      <c r="E83" s="678">
        <v>1892000</v>
      </c>
      <c r="F83" s="678">
        <v>97460780</v>
      </c>
      <c r="G83" s="678">
        <v>333357335</v>
      </c>
      <c r="H83" s="678">
        <v>421784040</v>
      </c>
    </row>
    <row r="84" spans="2:8" hidden="1" x14ac:dyDescent="0.2">
      <c r="B84" s="697" t="s">
        <v>462</v>
      </c>
      <c r="C84" s="677"/>
      <c r="D84" s="678">
        <v>0</v>
      </c>
      <c r="E84" s="678">
        <v>-66220</v>
      </c>
      <c r="F84" s="678">
        <v>-3413445.0000000005</v>
      </c>
      <c r="G84" s="678">
        <v>-11789295.000000002</v>
      </c>
      <c r="H84" s="678">
        <v>-15296855.000000002</v>
      </c>
    </row>
    <row r="85" spans="2:8" hidden="1" x14ac:dyDescent="0.2">
      <c r="B85" s="697" t="s">
        <v>464</v>
      </c>
      <c r="C85" s="678">
        <v>0</v>
      </c>
      <c r="D85" s="678">
        <v>1892000</v>
      </c>
      <c r="E85" s="678">
        <v>97460780</v>
      </c>
      <c r="F85" s="678">
        <v>333357335</v>
      </c>
      <c r="G85" s="678">
        <v>421784040</v>
      </c>
      <c r="H85" s="678">
        <v>408075185</v>
      </c>
    </row>
    <row r="86" spans="2:8" hidden="1" x14ac:dyDescent="0.2">
      <c r="B86" s="697" t="s">
        <v>463</v>
      </c>
      <c r="C86" s="678">
        <v>0</v>
      </c>
      <c r="D86" s="678">
        <v>1892000</v>
      </c>
      <c r="E86" s="678">
        <v>97527000</v>
      </c>
      <c r="F86" s="678">
        <v>336837000</v>
      </c>
      <c r="G86" s="678">
        <v>437053000</v>
      </c>
      <c r="H86" s="678">
        <v>438641000</v>
      </c>
    </row>
    <row r="87" spans="2:8" hidden="1" x14ac:dyDescent="0.2">
      <c r="B87" s="697" t="s">
        <v>465</v>
      </c>
      <c r="C87" s="678">
        <v>0</v>
      </c>
      <c r="D87" s="678">
        <v>0</v>
      </c>
      <c r="E87" s="678">
        <v>-66220</v>
      </c>
      <c r="F87" s="678">
        <v>-3479665.0000000005</v>
      </c>
      <c r="G87" s="678">
        <v>-15268960.000000002</v>
      </c>
      <c r="H87" s="678">
        <v>-30565815.000000004</v>
      </c>
    </row>
    <row r="88" spans="2:8" hidden="1" x14ac:dyDescent="0.2">
      <c r="B88" s="697" t="s">
        <v>466</v>
      </c>
      <c r="C88" s="678">
        <v>0</v>
      </c>
      <c r="D88" s="678">
        <v>1892000</v>
      </c>
      <c r="E88" s="678">
        <v>97460780</v>
      </c>
      <c r="F88" s="678">
        <v>333357335</v>
      </c>
      <c r="G88" s="678">
        <v>421784040</v>
      </c>
      <c r="H88" s="678">
        <v>408075185</v>
      </c>
    </row>
    <row r="89" spans="2:8" hidden="1" x14ac:dyDescent="0.2"/>
    <row r="90" spans="2:8" s="664" customFormat="1" hidden="1" x14ac:dyDescent="0.2">
      <c r="B90" s="663" t="s">
        <v>487</v>
      </c>
    </row>
    <row r="91" spans="2:8" hidden="1" x14ac:dyDescent="0.2">
      <c r="B91" s="674"/>
      <c r="C91" s="674"/>
      <c r="D91" s="674"/>
      <c r="E91" s="674"/>
      <c r="F91" s="674"/>
      <c r="G91" s="674"/>
      <c r="H91" s="674"/>
    </row>
    <row r="92" spans="2:8" hidden="1" x14ac:dyDescent="0.2">
      <c r="B92" s="699" t="s">
        <v>488</v>
      </c>
      <c r="C92" s="696">
        <v>2016</v>
      </c>
      <c r="D92" s="696">
        <v>2017</v>
      </c>
      <c r="E92" s="696">
        <v>2018</v>
      </c>
      <c r="F92" s="696">
        <v>2019</v>
      </c>
      <c r="G92" s="696">
        <v>2020</v>
      </c>
      <c r="H92" s="696">
        <v>2021</v>
      </c>
    </row>
    <row r="93" spans="2:8" hidden="1" outlineLevel="1" x14ac:dyDescent="0.2">
      <c r="B93" s="700" t="s">
        <v>489</v>
      </c>
      <c r="C93" s="701"/>
      <c r="D93" s="701">
        <v>1842000</v>
      </c>
      <c r="E93" s="701">
        <v>91709000</v>
      </c>
      <c r="F93" s="701">
        <v>193381000</v>
      </c>
      <c r="G93" s="701">
        <v>74963000</v>
      </c>
      <c r="H93" s="701">
        <v>764000</v>
      </c>
    </row>
    <row r="94" spans="2:8" hidden="1" outlineLevel="1" x14ac:dyDescent="0.2">
      <c r="B94" s="700" t="s">
        <v>490</v>
      </c>
      <c r="C94" s="701"/>
      <c r="D94" s="701">
        <v>7007000</v>
      </c>
      <c r="E94" s="701">
        <v>17799000</v>
      </c>
      <c r="F94" s="701">
        <v>74971000</v>
      </c>
      <c r="G94" s="701">
        <v>150379000</v>
      </c>
      <c r="H94" s="701">
        <v>148736000</v>
      </c>
    </row>
    <row r="95" spans="2:8" hidden="1" outlineLevel="1" x14ac:dyDescent="0.2">
      <c r="B95" s="700" t="s">
        <v>491</v>
      </c>
      <c r="C95" s="701"/>
      <c r="D95" s="701">
        <v>1885000</v>
      </c>
      <c r="E95" s="701">
        <v>23690000</v>
      </c>
      <c r="F95" s="701">
        <v>6568000</v>
      </c>
      <c r="G95" s="701">
        <v>7072000</v>
      </c>
      <c r="H95" s="701">
        <v>4641000</v>
      </c>
    </row>
    <row r="96" spans="2:8" hidden="1" x14ac:dyDescent="0.2">
      <c r="B96" s="697" t="s">
        <v>492</v>
      </c>
      <c r="C96" s="678"/>
      <c r="D96" s="678">
        <v>10734000</v>
      </c>
      <c r="E96" s="678">
        <v>133198000</v>
      </c>
      <c r="F96" s="678">
        <v>274920000</v>
      </c>
      <c r="G96" s="678">
        <v>232414000</v>
      </c>
      <c r="H96" s="678">
        <v>154141000</v>
      </c>
    </row>
    <row r="97" spans="2:10" hidden="1" x14ac:dyDescent="0.2">
      <c r="B97" s="697" t="s">
        <v>493</v>
      </c>
      <c r="D97" s="702">
        <v>0</v>
      </c>
      <c r="E97" s="702">
        <v>0</v>
      </c>
      <c r="F97" s="702">
        <v>0</v>
      </c>
      <c r="G97" s="702">
        <v>0</v>
      </c>
      <c r="H97" s="702">
        <v>0</v>
      </c>
    </row>
    <row r="98" spans="2:10" hidden="1" x14ac:dyDescent="0.2">
      <c r="B98" s="697" t="s">
        <v>494</v>
      </c>
      <c r="D98" s="678">
        <v>10734000</v>
      </c>
      <c r="E98" s="678">
        <v>133198000</v>
      </c>
      <c r="F98" s="678">
        <v>274920000</v>
      </c>
      <c r="G98" s="678">
        <v>232414000</v>
      </c>
      <c r="H98" s="678">
        <v>154141000</v>
      </c>
      <c r="I98" s="683"/>
    </row>
    <row r="99" spans="2:10" hidden="1" x14ac:dyDescent="0.2">
      <c r="B99" s="697" t="s">
        <v>485</v>
      </c>
      <c r="D99" s="678">
        <v>766000</v>
      </c>
      <c r="E99" s="678">
        <v>3315000</v>
      </c>
      <c r="F99" s="678">
        <v>3240000</v>
      </c>
      <c r="G99" s="678">
        <v>2087000</v>
      </c>
      <c r="H99" s="678">
        <v>0</v>
      </c>
    </row>
    <row r="100" spans="2:10" hidden="1" x14ac:dyDescent="0.2">
      <c r="B100" s="697" t="s">
        <v>486</v>
      </c>
      <c r="D100" s="678">
        <v>0</v>
      </c>
      <c r="E100" s="678">
        <v>0</v>
      </c>
      <c r="F100" s="678">
        <v>5402000</v>
      </c>
      <c r="G100" s="678">
        <v>2316000</v>
      </c>
      <c r="H100" s="678">
        <v>0</v>
      </c>
    </row>
    <row r="101" spans="2:10" hidden="1" x14ac:dyDescent="0.2">
      <c r="B101" s="703" t="s">
        <v>495</v>
      </c>
      <c r="D101" s="678">
        <v>6080000</v>
      </c>
      <c r="E101" s="678">
        <v>4767000</v>
      </c>
      <c r="F101" s="678">
        <v>4242000</v>
      </c>
      <c r="G101" s="678">
        <v>3951000</v>
      </c>
      <c r="H101" s="678">
        <v>4507000</v>
      </c>
    </row>
    <row r="102" spans="2:10" hidden="1" x14ac:dyDescent="0.2">
      <c r="B102" s="704" t="s">
        <v>496</v>
      </c>
      <c r="D102" s="678">
        <v>4792200</v>
      </c>
      <c r="E102" s="678">
        <v>5657400</v>
      </c>
      <c r="F102" s="678">
        <v>5237400</v>
      </c>
      <c r="G102" s="678">
        <v>4226600</v>
      </c>
      <c r="H102" s="678">
        <v>3154900</v>
      </c>
    </row>
    <row r="103" spans="2:10" hidden="1" x14ac:dyDescent="0.2">
      <c r="B103" s="704" t="s">
        <v>497</v>
      </c>
      <c r="D103" s="678">
        <v>2053800.0000000002</v>
      </c>
      <c r="E103" s="678">
        <v>2424600.0000000005</v>
      </c>
      <c r="F103" s="678">
        <v>2244600.0000000005</v>
      </c>
      <c r="G103" s="678">
        <v>1811400.0000000002</v>
      </c>
      <c r="H103" s="678">
        <v>1352100.0000000002</v>
      </c>
    </row>
    <row r="104" spans="2:10" hidden="1" x14ac:dyDescent="0.2"/>
    <row r="105" spans="2:10" hidden="1" x14ac:dyDescent="0.2">
      <c r="B105" s="699" t="s">
        <v>498</v>
      </c>
      <c r="C105" s="696"/>
      <c r="D105" s="696">
        <v>2017</v>
      </c>
      <c r="E105" s="696">
        <v>2018</v>
      </c>
      <c r="F105" s="696">
        <v>2019</v>
      </c>
      <c r="G105" s="696">
        <v>2020</v>
      </c>
      <c r="H105" s="696">
        <v>2021</v>
      </c>
    </row>
    <row r="106" spans="2:10" hidden="1" x14ac:dyDescent="0.2">
      <c r="B106" s="662" t="s">
        <v>469</v>
      </c>
      <c r="D106" s="678">
        <v>0</v>
      </c>
      <c r="E106" s="678">
        <v>0</v>
      </c>
      <c r="F106" s="678">
        <v>0</v>
      </c>
      <c r="G106" s="678">
        <v>0</v>
      </c>
      <c r="H106" s="678">
        <v>0</v>
      </c>
    </row>
    <row r="107" spans="2:10" hidden="1" x14ac:dyDescent="0.2">
      <c r="B107" s="662" t="s">
        <v>470</v>
      </c>
      <c r="D107" s="705">
        <v>0</v>
      </c>
      <c r="E107" s="705">
        <v>0</v>
      </c>
      <c r="F107" s="705">
        <v>0</v>
      </c>
      <c r="G107" s="705">
        <v>0</v>
      </c>
      <c r="H107" s="705">
        <v>0</v>
      </c>
    </row>
    <row r="108" spans="2:10" hidden="1" x14ac:dyDescent="0.2">
      <c r="B108" s="662" t="s">
        <v>471</v>
      </c>
      <c r="D108" s="698">
        <v>3.5000000000000003E-2</v>
      </c>
      <c r="E108" s="698">
        <v>3.5000000000000003E-2</v>
      </c>
      <c r="F108" s="698">
        <v>3.5000000000000003E-2</v>
      </c>
      <c r="G108" s="698">
        <v>3.5000000000000003E-2</v>
      </c>
      <c r="H108" s="698">
        <v>3.5000000000000003E-2</v>
      </c>
    </row>
    <row r="109" spans="2:10" hidden="1" x14ac:dyDescent="0.2">
      <c r="B109" s="662" t="s">
        <v>461</v>
      </c>
    </row>
    <row r="110" spans="2:10" hidden="1" x14ac:dyDescent="0.2">
      <c r="B110" s="662" t="s">
        <v>462</v>
      </c>
      <c r="D110" s="678">
        <v>0</v>
      </c>
      <c r="E110" s="678">
        <v>0</v>
      </c>
      <c r="F110" s="678">
        <v>0</v>
      </c>
      <c r="G110" s="678">
        <v>0</v>
      </c>
      <c r="H110" s="678">
        <v>0</v>
      </c>
      <c r="J110" s="706"/>
    </row>
    <row r="111" spans="2:10" hidden="1" x14ac:dyDescent="0.2">
      <c r="B111" s="662" t="s">
        <v>499</v>
      </c>
      <c r="C111" s="678">
        <v>0</v>
      </c>
      <c r="D111" s="678">
        <v>0</v>
      </c>
      <c r="E111" s="678">
        <v>0</v>
      </c>
      <c r="F111" s="678">
        <v>0</v>
      </c>
      <c r="G111" s="678">
        <v>0</v>
      </c>
      <c r="H111" s="678">
        <v>0</v>
      </c>
    </row>
    <row r="112" spans="2:10" hidden="1" x14ac:dyDescent="0.2">
      <c r="B112" s="707" t="s">
        <v>500</v>
      </c>
      <c r="C112" s="708">
        <v>0</v>
      </c>
      <c r="D112" s="708">
        <v>0</v>
      </c>
      <c r="E112" s="708">
        <v>0</v>
      </c>
      <c r="F112" s="708">
        <v>0</v>
      </c>
      <c r="G112" s="708">
        <v>0</v>
      </c>
      <c r="H112" s="708">
        <v>0</v>
      </c>
    </row>
    <row r="113" spans="2:10" hidden="1" x14ac:dyDescent="0.2">
      <c r="B113" s="662" t="s">
        <v>465</v>
      </c>
      <c r="D113" s="678">
        <v>0</v>
      </c>
      <c r="E113" s="678">
        <v>0</v>
      </c>
      <c r="F113" s="678">
        <v>0</v>
      </c>
      <c r="G113" s="678">
        <v>0</v>
      </c>
      <c r="H113" s="678">
        <v>0</v>
      </c>
    </row>
    <row r="114" spans="2:10" hidden="1" x14ac:dyDescent="0.2">
      <c r="B114" s="707" t="s">
        <v>501</v>
      </c>
      <c r="C114" s="708">
        <v>0</v>
      </c>
      <c r="D114" s="708">
        <v>0</v>
      </c>
      <c r="E114" s="708">
        <v>0</v>
      </c>
      <c r="F114" s="708">
        <v>0</v>
      </c>
      <c r="G114" s="708">
        <v>0</v>
      </c>
      <c r="H114" s="708">
        <v>0</v>
      </c>
    </row>
    <row r="115" spans="2:10" hidden="1" x14ac:dyDescent="0.2">
      <c r="I115" s="709"/>
    </row>
    <row r="116" spans="2:10" hidden="1" x14ac:dyDescent="0.2"/>
    <row r="117" spans="2:10" hidden="1" x14ac:dyDescent="0.2">
      <c r="B117" s="699" t="s">
        <v>502</v>
      </c>
      <c r="C117" s="696" t="s">
        <v>503</v>
      </c>
      <c r="D117" s="696">
        <v>2017</v>
      </c>
      <c r="E117" s="696">
        <v>2018</v>
      </c>
      <c r="F117" s="696">
        <v>2019</v>
      </c>
      <c r="G117" s="696">
        <v>2020</v>
      </c>
      <c r="H117" s="696">
        <v>2021</v>
      </c>
    </row>
    <row r="118" spans="2:10" hidden="1" x14ac:dyDescent="0.2">
      <c r="B118" s="662" t="s">
        <v>469</v>
      </c>
      <c r="D118" s="678">
        <v>10734000</v>
      </c>
      <c r="E118" s="678">
        <v>133198000</v>
      </c>
      <c r="F118" s="678">
        <v>274920000</v>
      </c>
      <c r="G118" s="678">
        <v>232414000</v>
      </c>
      <c r="H118" s="678">
        <v>154141000</v>
      </c>
    </row>
    <row r="119" spans="2:10" hidden="1" x14ac:dyDescent="0.2">
      <c r="B119" s="662" t="s">
        <v>470</v>
      </c>
      <c r="D119" s="710">
        <v>7205013.6986301364</v>
      </c>
      <c r="E119" s="710">
        <v>89406876.712328762</v>
      </c>
      <c r="F119" s="710">
        <v>184535342.46575347</v>
      </c>
      <c r="G119" s="710">
        <v>58581063.013698637</v>
      </c>
      <c r="H119" s="710">
        <v>38851978.082191788</v>
      </c>
    </row>
    <row r="120" spans="2:10" hidden="1" x14ac:dyDescent="0.2">
      <c r="B120" s="662" t="s">
        <v>471</v>
      </c>
      <c r="D120" s="698">
        <v>3.5000000000000003E-2</v>
      </c>
      <c r="E120" s="698">
        <v>3.5000000000000003E-2</v>
      </c>
      <c r="F120" s="698">
        <v>3.5000000000000003E-2</v>
      </c>
      <c r="G120" s="698">
        <v>3.5000000000000003E-2</v>
      </c>
      <c r="H120" s="698">
        <v>3.5000000000000003E-2</v>
      </c>
    </row>
    <row r="121" spans="2:10" hidden="1" x14ac:dyDescent="0.2">
      <c r="B121" s="662" t="s">
        <v>461</v>
      </c>
    </row>
    <row r="122" spans="2:10" hidden="1" x14ac:dyDescent="0.2">
      <c r="B122" s="662" t="s">
        <v>462</v>
      </c>
      <c r="D122" s="678">
        <v>-252175.4794520548</v>
      </c>
      <c r="E122" s="678">
        <v>-3504930.6849315069</v>
      </c>
      <c r="F122" s="678">
        <v>-11496356.986301372</v>
      </c>
      <c r="G122" s="678">
        <v>-16710157.205479454</v>
      </c>
      <c r="H122" s="678">
        <v>-24154129.232876714</v>
      </c>
      <c r="J122" s="706"/>
    </row>
    <row r="123" spans="2:10" hidden="1" x14ac:dyDescent="0.2">
      <c r="B123" s="662" t="s">
        <v>499</v>
      </c>
      <c r="C123" s="678">
        <v>0</v>
      </c>
      <c r="D123" s="678">
        <v>10481824.520547945</v>
      </c>
      <c r="E123" s="678">
        <v>140174893.83561644</v>
      </c>
      <c r="F123" s="678">
        <v>403598536.84931511</v>
      </c>
      <c r="G123" s="678">
        <v>619302379.64383566</v>
      </c>
      <c r="H123" s="678">
        <v>749289250.41095901</v>
      </c>
    </row>
    <row r="124" spans="2:10" hidden="1" x14ac:dyDescent="0.2">
      <c r="B124" s="707" t="s">
        <v>500</v>
      </c>
      <c r="C124" s="708">
        <v>0</v>
      </c>
      <c r="D124" s="708">
        <v>10734000</v>
      </c>
      <c r="E124" s="708">
        <v>143932000</v>
      </c>
      <c r="F124" s="708">
        <v>418852000</v>
      </c>
      <c r="G124" s="708">
        <v>651266000</v>
      </c>
      <c r="H124" s="708">
        <v>805407000</v>
      </c>
    </row>
    <row r="125" spans="2:10" hidden="1" x14ac:dyDescent="0.2">
      <c r="B125" s="662" t="s">
        <v>465</v>
      </c>
      <c r="D125" s="678">
        <v>-252175.4794520548</v>
      </c>
      <c r="E125" s="678">
        <v>-3757106.1643835618</v>
      </c>
      <c r="F125" s="678">
        <v>-15253463.150684934</v>
      </c>
      <c r="G125" s="678">
        <v>-31963620.356164388</v>
      </c>
      <c r="H125" s="678">
        <v>-56117749.589041099</v>
      </c>
    </row>
    <row r="126" spans="2:10" hidden="1" x14ac:dyDescent="0.2">
      <c r="B126" s="707" t="s">
        <v>501</v>
      </c>
      <c r="C126" s="708">
        <v>0</v>
      </c>
      <c r="D126" s="708">
        <v>10481824.520547945</v>
      </c>
      <c r="E126" s="708">
        <v>140174893.83561644</v>
      </c>
      <c r="F126" s="708">
        <v>403598536.84931505</v>
      </c>
      <c r="G126" s="708">
        <v>619302379.64383566</v>
      </c>
      <c r="H126" s="708">
        <v>749289250.41095889</v>
      </c>
    </row>
    <row r="127" spans="2:10" hidden="1" x14ac:dyDescent="0.2">
      <c r="B127" s="707"/>
      <c r="C127" s="707"/>
      <c r="D127" s="708"/>
      <c r="E127" s="708"/>
      <c r="F127" s="708"/>
      <c r="G127" s="708"/>
      <c r="H127" s="708"/>
    </row>
    <row r="128" spans="2:10" hidden="1" outlineLevel="1" x14ac:dyDescent="0.2">
      <c r="B128" s="699" t="s">
        <v>504</v>
      </c>
      <c r="C128" s="696" t="s">
        <v>505</v>
      </c>
      <c r="D128" s="696">
        <v>2017</v>
      </c>
      <c r="E128" s="696">
        <v>2018</v>
      </c>
      <c r="F128" s="696">
        <v>2019</v>
      </c>
      <c r="G128" s="696">
        <v>2020</v>
      </c>
      <c r="H128" s="696">
        <v>2021</v>
      </c>
    </row>
    <row r="129" spans="2:10" hidden="1" outlineLevel="1" x14ac:dyDescent="0.2">
      <c r="B129" s="662" t="s">
        <v>469</v>
      </c>
      <c r="D129" s="678">
        <v>4792200</v>
      </c>
      <c r="E129" s="678">
        <v>5657400</v>
      </c>
      <c r="F129" s="678">
        <v>5237400</v>
      </c>
      <c r="G129" s="678">
        <v>4226600</v>
      </c>
      <c r="H129" s="678">
        <v>3154900</v>
      </c>
      <c r="I129" s="711"/>
      <c r="J129" s="712"/>
    </row>
    <row r="130" spans="2:10" hidden="1" outlineLevel="1" x14ac:dyDescent="0.2">
      <c r="B130" s="662" t="s">
        <v>470</v>
      </c>
      <c r="D130" s="710">
        <v>3216682.1917808214</v>
      </c>
      <c r="E130" s="710">
        <v>3797432.8767123278</v>
      </c>
      <c r="F130" s="710">
        <v>3515515.0684931497</v>
      </c>
      <c r="G130" s="710">
        <v>1065334.7945205478</v>
      </c>
      <c r="H130" s="710">
        <v>795207.67123287672</v>
      </c>
      <c r="I130" s="709"/>
    </row>
    <row r="131" spans="2:10" hidden="1" outlineLevel="1" x14ac:dyDescent="0.2">
      <c r="B131" s="662" t="s">
        <v>471</v>
      </c>
      <c r="C131" s="713"/>
      <c r="D131" s="713">
        <v>3.4838098558625408E-2</v>
      </c>
      <c r="E131" s="713">
        <v>3.4838098558625408E-2</v>
      </c>
      <c r="F131" s="713">
        <v>3.4838098558625408E-2</v>
      </c>
      <c r="G131" s="713">
        <v>3.4838098558625408E-2</v>
      </c>
      <c r="H131" s="713">
        <v>3.4838098558625408E-2</v>
      </c>
    </row>
    <row r="132" spans="2:10" hidden="1" outlineLevel="1" x14ac:dyDescent="0.2">
      <c r="B132" s="662" t="s">
        <v>461</v>
      </c>
    </row>
    <row r="133" spans="2:10" hidden="1" outlineLevel="1" x14ac:dyDescent="0.2">
      <c r="B133" s="662" t="s">
        <v>462</v>
      </c>
      <c r="D133" s="678">
        <v>-112063.09122903545</v>
      </c>
      <c r="E133" s="678">
        <v>-299246.47674131318</v>
      </c>
      <c r="F133" s="678">
        <v>-486518.0551387092</v>
      </c>
      <c r="G133" s="678">
        <v>-583619.49065859651</v>
      </c>
      <c r="H133" s="678">
        <v>-721455.48268202879</v>
      </c>
      <c r="J133" s="706"/>
    </row>
    <row r="134" spans="2:10" hidden="1" outlineLevel="1" x14ac:dyDescent="0.2">
      <c r="B134" s="662" t="s">
        <v>499</v>
      </c>
      <c r="C134" s="678">
        <v>0</v>
      </c>
      <c r="D134" s="678">
        <v>4680136.9087709645</v>
      </c>
      <c r="E134" s="678">
        <v>10038290.43202965</v>
      </c>
      <c r="F134" s="678">
        <v>14789172.376890941</v>
      </c>
      <c r="G134" s="678">
        <v>18432152.886232346</v>
      </c>
      <c r="H134" s="678">
        <v>20865597.403550319</v>
      </c>
    </row>
    <row r="135" spans="2:10" hidden="1" outlineLevel="1" x14ac:dyDescent="0.2">
      <c r="B135" s="707" t="s">
        <v>500</v>
      </c>
      <c r="C135" s="708">
        <v>0</v>
      </c>
      <c r="D135" s="708">
        <v>4792200</v>
      </c>
      <c r="E135" s="708">
        <v>10449600</v>
      </c>
      <c r="F135" s="708">
        <v>15687000</v>
      </c>
      <c r="G135" s="708">
        <v>19913600</v>
      </c>
      <c r="H135" s="708">
        <v>23068500</v>
      </c>
    </row>
    <row r="136" spans="2:10" hidden="1" outlineLevel="1" x14ac:dyDescent="0.2">
      <c r="B136" s="662" t="s">
        <v>465</v>
      </c>
      <c r="D136" s="678">
        <v>-112063.09122903545</v>
      </c>
      <c r="E136" s="678">
        <v>-411309.56797034864</v>
      </c>
      <c r="F136" s="678">
        <v>-897827.62310905778</v>
      </c>
      <c r="G136" s="678">
        <v>-1481447.1137676542</v>
      </c>
      <c r="H136" s="678">
        <v>-2202902.596449683</v>
      </c>
    </row>
    <row r="137" spans="2:10" hidden="1" outlineLevel="1" x14ac:dyDescent="0.2">
      <c r="B137" s="707" t="s">
        <v>501</v>
      </c>
      <c r="C137" s="708">
        <v>0</v>
      </c>
      <c r="D137" s="708">
        <v>4680136.9087709645</v>
      </c>
      <c r="E137" s="708">
        <v>10038290.432029651</v>
      </c>
      <c r="F137" s="708">
        <v>14789172.376890942</v>
      </c>
      <c r="G137" s="708">
        <v>18432152.886232346</v>
      </c>
      <c r="H137" s="708">
        <v>20865597.403550316</v>
      </c>
    </row>
    <row r="138" spans="2:10" hidden="1" outlineLevel="1" x14ac:dyDescent="0.2">
      <c r="B138" s="707"/>
      <c r="C138" s="707"/>
      <c r="D138" s="708"/>
      <c r="E138" s="708"/>
      <c r="F138" s="708"/>
      <c r="G138" s="708"/>
      <c r="H138" s="708"/>
    </row>
    <row r="139" spans="2:10" hidden="1" x14ac:dyDescent="0.2">
      <c r="B139" s="699" t="s">
        <v>504</v>
      </c>
      <c r="C139" s="696" t="s">
        <v>506</v>
      </c>
      <c r="D139" s="696">
        <v>2017</v>
      </c>
      <c r="E139" s="696">
        <v>2018</v>
      </c>
      <c r="F139" s="696">
        <v>2019</v>
      </c>
      <c r="G139" s="696">
        <v>2020</v>
      </c>
      <c r="H139" s="696">
        <v>2021</v>
      </c>
    </row>
    <row r="140" spans="2:10" hidden="1" x14ac:dyDescent="0.2">
      <c r="B140" s="662" t="s">
        <v>469</v>
      </c>
      <c r="D140" s="678">
        <v>2053800.0000000002</v>
      </c>
      <c r="E140" s="678">
        <v>2424600.0000000005</v>
      </c>
      <c r="F140" s="678">
        <v>2244600.0000000005</v>
      </c>
      <c r="G140" s="678">
        <v>1811400.0000000002</v>
      </c>
      <c r="H140" s="678">
        <v>1352100.0000000002</v>
      </c>
      <c r="I140" s="711"/>
    </row>
    <row r="141" spans="2:10" hidden="1" x14ac:dyDescent="0.2">
      <c r="B141" s="662" t="s">
        <v>470</v>
      </c>
      <c r="D141" s="710">
        <v>1378578.0821917809</v>
      </c>
      <c r="E141" s="710">
        <v>1627471.2328767122</v>
      </c>
      <c r="F141" s="710">
        <v>1506649.3150684931</v>
      </c>
      <c r="G141" s="710">
        <v>456572.05479452061</v>
      </c>
      <c r="H141" s="710">
        <v>340803.28767123295</v>
      </c>
      <c r="I141" s="709"/>
    </row>
    <row r="142" spans="2:10" hidden="1" x14ac:dyDescent="0.2">
      <c r="B142" s="662" t="s">
        <v>471</v>
      </c>
      <c r="C142" s="713"/>
      <c r="D142" s="713">
        <v>3.4838098558625408E-2</v>
      </c>
      <c r="E142" s="713">
        <v>3.4838098558625408E-2</v>
      </c>
      <c r="F142" s="713">
        <v>3.4838098558625408E-2</v>
      </c>
      <c r="G142" s="713">
        <v>3.4838098558625408E-2</v>
      </c>
      <c r="H142" s="713">
        <v>3.4838098558625408E-2</v>
      </c>
    </row>
    <row r="143" spans="2:10" hidden="1" x14ac:dyDescent="0.2">
      <c r="B143" s="662" t="s">
        <v>461</v>
      </c>
    </row>
    <row r="144" spans="2:10" hidden="1" x14ac:dyDescent="0.2">
      <c r="B144" s="662" t="s">
        <v>462</v>
      </c>
      <c r="D144" s="678">
        <v>-48027.039098158064</v>
      </c>
      <c r="E144" s="678">
        <v>-128248.49003199137</v>
      </c>
      <c r="F144" s="678">
        <v>-208507.73791658971</v>
      </c>
      <c r="G144" s="678">
        <v>-250122.6388536843</v>
      </c>
      <c r="H144" s="678">
        <v>-309195.20686372672</v>
      </c>
      <c r="J144" s="706"/>
    </row>
    <row r="145" spans="2:9" hidden="1" x14ac:dyDescent="0.2">
      <c r="B145" s="662" t="s">
        <v>499</v>
      </c>
      <c r="C145" s="678">
        <v>0</v>
      </c>
      <c r="D145" s="678">
        <v>2005772.9609018422</v>
      </c>
      <c r="E145" s="678">
        <v>4302124.4708698513</v>
      </c>
      <c r="F145" s="678">
        <v>6338216.7329532625</v>
      </c>
      <c r="G145" s="678">
        <v>7899494.0940995784</v>
      </c>
      <c r="H145" s="678">
        <v>8942398.887235852</v>
      </c>
    </row>
    <row r="146" spans="2:9" hidden="1" x14ac:dyDescent="0.2">
      <c r="B146" s="707" t="s">
        <v>500</v>
      </c>
      <c r="C146" s="708">
        <v>0</v>
      </c>
      <c r="D146" s="708">
        <v>2053800.0000000002</v>
      </c>
      <c r="E146" s="708">
        <v>4478400.0000000009</v>
      </c>
      <c r="F146" s="708">
        <v>6723000.0000000019</v>
      </c>
      <c r="G146" s="708">
        <v>8534400.0000000019</v>
      </c>
      <c r="H146" s="708">
        <v>9886500.0000000019</v>
      </c>
    </row>
    <row r="147" spans="2:9" hidden="1" x14ac:dyDescent="0.2">
      <c r="B147" s="662" t="s">
        <v>465</v>
      </c>
      <c r="D147" s="678">
        <v>-48027.039098158064</v>
      </c>
      <c r="E147" s="678">
        <v>-176275.52913014943</v>
      </c>
      <c r="F147" s="678">
        <v>-384783.26704673911</v>
      </c>
      <c r="G147" s="678">
        <v>-634905.90590042342</v>
      </c>
      <c r="H147" s="678">
        <v>-944101.11276415014</v>
      </c>
    </row>
    <row r="148" spans="2:9" hidden="1" x14ac:dyDescent="0.2">
      <c r="B148" s="707" t="s">
        <v>501</v>
      </c>
      <c r="C148" s="708">
        <v>0</v>
      </c>
      <c r="D148" s="708">
        <v>2005772.9609018422</v>
      </c>
      <c r="E148" s="708">
        <v>4302124.4708698513</v>
      </c>
      <c r="F148" s="708">
        <v>6338216.7329532625</v>
      </c>
      <c r="G148" s="708">
        <v>7899494.0940995784</v>
      </c>
      <c r="H148" s="708">
        <v>8942398.887235852</v>
      </c>
    </row>
    <row r="149" spans="2:9" hidden="1" x14ac:dyDescent="0.2">
      <c r="B149" s="685"/>
      <c r="C149" s="714"/>
    </row>
    <row r="150" spans="2:9" hidden="1" x14ac:dyDescent="0.2">
      <c r="B150" s="675" t="s">
        <v>507</v>
      </c>
      <c r="C150" s="715">
        <v>2016</v>
      </c>
      <c r="D150" s="715">
        <v>2017</v>
      </c>
      <c r="E150" s="715">
        <v>2018</v>
      </c>
      <c r="F150" s="715">
        <v>2019</v>
      </c>
      <c r="G150" s="715">
        <v>2020</v>
      </c>
      <c r="H150" s="715">
        <v>2021</v>
      </c>
      <c r="I150" s="662" t="s">
        <v>508</v>
      </c>
    </row>
    <row r="151" spans="2:9" hidden="1" x14ac:dyDescent="0.2">
      <c r="B151" s="662" t="s">
        <v>499</v>
      </c>
      <c r="C151" s="678"/>
      <c r="D151" s="678">
        <v>4680136.9087709645</v>
      </c>
      <c r="E151" s="678">
        <v>10038290.432029651</v>
      </c>
      <c r="F151" s="678">
        <v>14789172.376890942</v>
      </c>
      <c r="G151" s="678">
        <v>18432152.886232346</v>
      </c>
      <c r="H151" s="678">
        <v>20865597.403550316</v>
      </c>
    </row>
    <row r="152" spans="2:9" hidden="1" x14ac:dyDescent="0.2">
      <c r="B152" s="662" t="s">
        <v>509</v>
      </c>
      <c r="C152" s="714"/>
      <c r="D152" s="678">
        <v>-112063.09122903545</v>
      </c>
      <c r="E152" s="678">
        <v>-299246.47674131318</v>
      </c>
      <c r="F152" s="678">
        <v>-486518.0551387092</v>
      </c>
      <c r="G152" s="678">
        <v>-583619.49065859651</v>
      </c>
      <c r="H152" s="678">
        <v>-721455.48268202879</v>
      </c>
    </row>
    <row r="153" spans="2:9" hidden="1" x14ac:dyDescent="0.2">
      <c r="B153" s="662" t="s">
        <v>500</v>
      </c>
      <c r="C153" s="714"/>
      <c r="D153" s="678">
        <v>4792200</v>
      </c>
      <c r="E153" s="678">
        <v>10449600</v>
      </c>
      <c r="F153" s="678">
        <v>15687000</v>
      </c>
      <c r="G153" s="678">
        <v>19913600</v>
      </c>
      <c r="H153" s="678">
        <v>23068500</v>
      </c>
    </row>
    <row r="154" spans="2:9" hidden="1" x14ac:dyDescent="0.2">
      <c r="B154" s="662" t="s">
        <v>470</v>
      </c>
      <c r="C154" s="714"/>
      <c r="D154" s="678">
        <v>3216682.1917808214</v>
      </c>
      <c r="E154" s="678">
        <v>3797432.8767123278</v>
      </c>
      <c r="F154" s="678">
        <v>3515515.0684931497</v>
      </c>
      <c r="G154" s="678">
        <v>1065334.7945205478</v>
      </c>
      <c r="H154" s="678">
        <v>795207.67123287672</v>
      </c>
    </row>
    <row r="155" spans="2:9" hidden="1" x14ac:dyDescent="0.2">
      <c r="B155" s="675" t="s">
        <v>507</v>
      </c>
      <c r="C155" s="715">
        <v>2016</v>
      </c>
      <c r="D155" s="715">
        <v>2017</v>
      </c>
      <c r="E155" s="715">
        <v>2018</v>
      </c>
      <c r="F155" s="715">
        <v>2019</v>
      </c>
      <c r="G155" s="715">
        <v>2020</v>
      </c>
      <c r="H155" s="715">
        <v>2021</v>
      </c>
      <c r="I155" s="662" t="s">
        <v>510</v>
      </c>
    </row>
    <row r="156" spans="2:9" hidden="1" x14ac:dyDescent="0.2">
      <c r="B156" s="662" t="s">
        <v>499</v>
      </c>
      <c r="C156" s="678"/>
      <c r="D156" s="678">
        <v>12487597.481449787</v>
      </c>
      <c r="E156" s="678">
        <v>144477018.30648628</v>
      </c>
      <c r="F156" s="678">
        <v>409936753.5822683</v>
      </c>
      <c r="G156" s="678">
        <v>627201873.73793519</v>
      </c>
      <c r="H156" s="678">
        <v>758231649.29819477</v>
      </c>
    </row>
    <row r="157" spans="2:9" hidden="1" x14ac:dyDescent="0.2">
      <c r="B157" s="662" t="s">
        <v>509</v>
      </c>
      <c r="C157" s="714"/>
      <c r="D157" s="678">
        <v>-300202.51855021284</v>
      </c>
      <c r="E157" s="678">
        <v>-3633179.174963498</v>
      </c>
      <c r="F157" s="678">
        <v>-11704864.724217962</v>
      </c>
      <c r="G157" s="678">
        <v>-16960279.844333138</v>
      </c>
      <c r="H157" s="678">
        <v>-24463324.439740442</v>
      </c>
    </row>
    <row r="158" spans="2:9" hidden="1" x14ac:dyDescent="0.2">
      <c r="B158" s="662" t="s">
        <v>500</v>
      </c>
      <c r="C158" s="716"/>
      <c r="D158" s="678">
        <v>12787800</v>
      </c>
      <c r="E158" s="678">
        <v>148410400</v>
      </c>
      <c r="F158" s="678">
        <v>425575000</v>
      </c>
      <c r="G158" s="678">
        <v>659800400</v>
      </c>
      <c r="H158" s="678">
        <v>815293500</v>
      </c>
    </row>
    <row r="159" spans="2:9" hidden="1" x14ac:dyDescent="0.2">
      <c r="B159" s="662" t="s">
        <v>470</v>
      </c>
      <c r="C159" s="714"/>
      <c r="D159" s="678">
        <v>8583591.7808219176</v>
      </c>
      <c r="E159" s="678">
        <v>91034347.94520548</v>
      </c>
      <c r="F159" s="678">
        <v>186041991.78082195</v>
      </c>
      <c r="G159" s="678">
        <v>59037635.068493158</v>
      </c>
      <c r="H159" s="678">
        <v>39192781.369863018</v>
      </c>
    </row>
    <row r="160" spans="2:9" hidden="1" x14ac:dyDescent="0.2">
      <c r="C160" s="678"/>
      <c r="D160" s="678"/>
      <c r="E160" s="678"/>
      <c r="F160" s="678"/>
      <c r="G160" s="678"/>
      <c r="H160" s="678"/>
    </row>
    <row r="161" spans="2:8" s="664" customFormat="1" x14ac:dyDescent="0.2">
      <c r="B161" s="663" t="s">
        <v>341</v>
      </c>
    </row>
    <row r="162" spans="2:8" x14ac:dyDescent="0.2">
      <c r="B162" s="685"/>
      <c r="C162" s="714"/>
    </row>
    <row r="163" spans="2:8" x14ac:dyDescent="0.2">
      <c r="B163" s="675"/>
      <c r="C163" s="663">
        <v>2016</v>
      </c>
      <c r="D163" s="663">
        <v>2017</v>
      </c>
      <c r="E163" s="663">
        <v>2018</v>
      </c>
      <c r="F163" s="663">
        <v>2019</v>
      </c>
      <c r="G163" s="663">
        <v>2020</v>
      </c>
      <c r="H163" s="663">
        <v>2021</v>
      </c>
    </row>
    <row r="164" spans="2:8" x14ac:dyDescent="0.2">
      <c r="B164" s="682" t="s">
        <v>471</v>
      </c>
      <c r="C164" s="676">
        <v>2.4239702011208852E-2</v>
      </c>
      <c r="D164" s="676">
        <v>2.4239702011208852E-2</v>
      </c>
      <c r="E164" s="676">
        <v>2.4239702011208852E-2</v>
      </c>
      <c r="F164" s="676">
        <v>2.4239702011208852E-2</v>
      </c>
      <c r="G164" s="676">
        <v>2.4239702011208852E-2</v>
      </c>
      <c r="H164" s="676">
        <v>2.4239702011208852E-2</v>
      </c>
    </row>
    <row r="165" spans="2:8" x14ac:dyDescent="0.2">
      <c r="B165" s="682" t="s">
        <v>473</v>
      </c>
      <c r="C165" s="686">
        <v>0.02</v>
      </c>
      <c r="D165" s="686">
        <v>0.02</v>
      </c>
      <c r="E165" s="686">
        <v>0.02</v>
      </c>
      <c r="F165" s="686">
        <v>0.02</v>
      </c>
      <c r="G165" s="686">
        <v>0.02</v>
      </c>
      <c r="H165" s="686">
        <v>0.02</v>
      </c>
    </row>
    <row r="166" spans="2:8" x14ac:dyDescent="0.2">
      <c r="B166" s="682" t="s">
        <v>460</v>
      </c>
      <c r="C166" s="678"/>
      <c r="D166" s="678">
        <v>30496959.555</v>
      </c>
      <c r="E166" s="678">
        <v>30496959.555</v>
      </c>
      <c r="F166" s="678">
        <v>30496959.555</v>
      </c>
      <c r="G166" s="678">
        <v>30496959.555</v>
      </c>
      <c r="H166" s="678">
        <v>30496959.555</v>
      </c>
    </row>
    <row r="167" spans="2:8" x14ac:dyDescent="0.2">
      <c r="B167" s="682" t="s">
        <v>461</v>
      </c>
      <c r="C167" s="678"/>
      <c r="D167" s="678">
        <v>14766818.484999999</v>
      </c>
      <c r="E167" s="678">
        <v>14027581.273138911</v>
      </c>
      <c r="F167" s="678">
        <v>13288344.061277822</v>
      </c>
      <c r="G167" s="678">
        <v>12549106.849416733</v>
      </c>
      <c r="H167" s="678">
        <v>11809869.637555644</v>
      </c>
    </row>
    <row r="168" spans="2:8" x14ac:dyDescent="0.2">
      <c r="B168" s="682" t="s">
        <v>462</v>
      </c>
      <c r="C168" s="678"/>
      <c r="D168" s="678">
        <v>-739237.21186108852</v>
      </c>
      <c r="E168" s="678">
        <v>-739237.21186108852</v>
      </c>
      <c r="F168" s="678">
        <v>-739237.21186108852</v>
      </c>
      <c r="G168" s="678">
        <v>-739237.21186108852</v>
      </c>
      <c r="H168" s="678">
        <v>-739237.21186108852</v>
      </c>
    </row>
    <row r="169" spans="2:8" x14ac:dyDescent="0.2">
      <c r="B169" s="682" t="s">
        <v>474</v>
      </c>
      <c r="C169" s="678"/>
      <c r="D169" s="678"/>
      <c r="E169" s="678"/>
      <c r="F169" s="678"/>
      <c r="G169" s="678"/>
      <c r="H169" s="678"/>
    </row>
    <row r="170" spans="2:8" x14ac:dyDescent="0.2">
      <c r="B170" s="682" t="s">
        <v>463</v>
      </c>
      <c r="C170" s="678">
        <v>30496959.555</v>
      </c>
      <c r="D170" s="678">
        <v>30496959.555</v>
      </c>
      <c r="E170" s="678">
        <v>30496959.555</v>
      </c>
      <c r="F170" s="678">
        <v>30496959.555</v>
      </c>
      <c r="G170" s="678">
        <v>30496959.555</v>
      </c>
      <c r="H170" s="678">
        <v>30496959.555</v>
      </c>
    </row>
    <row r="171" spans="2:8" x14ac:dyDescent="0.2">
      <c r="B171" s="682" t="s">
        <v>465</v>
      </c>
      <c r="C171" s="678">
        <v>-15730141.07</v>
      </c>
      <c r="D171" s="678">
        <v>-16469378.281861089</v>
      </c>
      <c r="E171" s="678">
        <v>-17208615.493722178</v>
      </c>
      <c r="F171" s="678">
        <v>-17947852.705583267</v>
      </c>
      <c r="G171" s="678">
        <v>-18687089.917444356</v>
      </c>
      <c r="H171" s="678">
        <v>-19426327.129305445</v>
      </c>
    </row>
    <row r="172" spans="2:8" x14ac:dyDescent="0.2">
      <c r="B172" s="682" t="s">
        <v>464</v>
      </c>
      <c r="C172" s="678">
        <v>14766818.484999999</v>
      </c>
      <c r="D172" s="678">
        <v>14027581.273138911</v>
      </c>
      <c r="E172" s="678">
        <v>13288344.061277822</v>
      </c>
      <c r="F172" s="678">
        <v>12549106.849416733</v>
      </c>
      <c r="G172" s="678">
        <v>11809869.637555644</v>
      </c>
      <c r="H172" s="678">
        <v>11070632.425694555</v>
      </c>
    </row>
    <row r="173" spans="2:8" x14ac:dyDescent="0.2">
      <c r="B173" s="682"/>
      <c r="C173" s="717"/>
    </row>
    <row r="174" spans="2:8" x14ac:dyDescent="0.2">
      <c r="B174" s="718" t="s">
        <v>488</v>
      </c>
      <c r="C174" s="663">
        <v>2016</v>
      </c>
      <c r="D174" s="663">
        <v>2017</v>
      </c>
      <c r="E174" s="663">
        <v>2018</v>
      </c>
      <c r="F174" s="663">
        <v>2019</v>
      </c>
      <c r="G174" s="663">
        <v>2020</v>
      </c>
      <c r="H174" s="663">
        <v>2021</v>
      </c>
    </row>
    <row r="175" spans="2:8" x14ac:dyDescent="0.2">
      <c r="B175" s="682" t="s">
        <v>469</v>
      </c>
      <c r="C175" s="678"/>
      <c r="D175" s="678">
        <v>4052000</v>
      </c>
      <c r="E175" s="678">
        <v>6327000</v>
      </c>
      <c r="F175" s="678">
        <v>2078000</v>
      </c>
      <c r="G175" s="678">
        <v>2849000</v>
      </c>
      <c r="H175" s="678">
        <v>0</v>
      </c>
    </row>
    <row r="176" spans="2:8" x14ac:dyDescent="0.2">
      <c r="B176" s="662" t="s">
        <v>470</v>
      </c>
      <c r="C176" s="678"/>
      <c r="D176" s="678">
        <v>2719835.6164383567</v>
      </c>
      <c r="E176" s="678">
        <v>4246890.4109589048</v>
      </c>
      <c r="F176" s="678">
        <v>1394821.9178082196</v>
      </c>
      <c r="G176" s="678">
        <v>718104.10958904121</v>
      </c>
      <c r="H176" s="678">
        <v>0</v>
      </c>
    </row>
    <row r="177" spans="2:8 16384:16384" x14ac:dyDescent="0.2">
      <c r="B177" s="682" t="s">
        <v>471</v>
      </c>
      <c r="C177" s="686"/>
      <c r="D177" s="698">
        <v>3.5000000000000003E-2</v>
      </c>
      <c r="E177" s="698">
        <v>3.5000000000000003E-2</v>
      </c>
      <c r="F177" s="698">
        <v>3.5000000000000003E-2</v>
      </c>
      <c r="G177" s="698">
        <v>3.5000000000000003E-2</v>
      </c>
      <c r="H177" s="698">
        <v>3.5000000000000003E-2</v>
      </c>
    </row>
    <row r="178" spans="2:8 16384:16384" x14ac:dyDescent="0.2">
      <c r="B178" s="682" t="s">
        <v>461</v>
      </c>
      <c r="C178" s="678"/>
      <c r="D178" s="678">
        <v>0</v>
      </c>
      <c r="E178" s="678">
        <v>3956805.7534246575</v>
      </c>
      <c r="F178" s="678">
        <v>9993344.5890410952</v>
      </c>
      <c r="G178" s="678">
        <v>11659260.821917808</v>
      </c>
      <c r="H178" s="678">
        <v>14047132.17808219</v>
      </c>
    </row>
    <row r="179" spans="2:8 16384:16384" x14ac:dyDescent="0.2">
      <c r="B179" s="682" t="s">
        <v>462</v>
      </c>
      <c r="C179" s="678"/>
      <c r="D179" s="678">
        <v>-95194.246575342491</v>
      </c>
      <c r="E179" s="678">
        <v>-290461.1643835617</v>
      </c>
      <c r="F179" s="678">
        <v>-412083.76712328772</v>
      </c>
      <c r="G179" s="678">
        <v>-461128.64383561647</v>
      </c>
      <c r="H179" s="678">
        <v>-535710</v>
      </c>
    </row>
    <row r="180" spans="2:8 16384:16384" x14ac:dyDescent="0.2">
      <c r="B180" s="682" t="s">
        <v>464</v>
      </c>
      <c r="C180" s="678"/>
      <c r="D180" s="678">
        <v>3956805.7534246575</v>
      </c>
      <c r="E180" s="678">
        <v>9993344.5890410952</v>
      </c>
      <c r="F180" s="678">
        <v>11659260.821917808</v>
      </c>
      <c r="G180" s="678">
        <v>14047132.17808219</v>
      </c>
      <c r="H180" s="678">
        <v>13511422.17808219</v>
      </c>
    </row>
    <row r="181" spans="2:8 16384:16384" x14ac:dyDescent="0.2">
      <c r="B181" s="682" t="s">
        <v>463</v>
      </c>
      <c r="C181" s="678"/>
      <c r="D181" s="678">
        <v>4052000</v>
      </c>
      <c r="E181" s="678">
        <v>10379000</v>
      </c>
      <c r="F181" s="678">
        <v>12457000</v>
      </c>
      <c r="G181" s="678">
        <v>15306000</v>
      </c>
      <c r="H181" s="678">
        <v>15306000</v>
      </c>
    </row>
    <row r="182" spans="2:8 16384:16384" x14ac:dyDescent="0.2">
      <c r="B182" s="682" t="s">
        <v>465</v>
      </c>
      <c r="C182" s="678"/>
      <c r="D182" s="678">
        <v>-95194.246575342491</v>
      </c>
      <c r="E182" s="678">
        <v>-385655.41095890419</v>
      </c>
      <c r="F182" s="678">
        <v>-797739.17808219185</v>
      </c>
      <c r="G182" s="678">
        <v>-1258867.8219178084</v>
      </c>
      <c r="H182" s="678">
        <v>-1794577.8219178084</v>
      </c>
    </row>
    <row r="183" spans="2:8 16384:16384" x14ac:dyDescent="0.2">
      <c r="B183" s="682"/>
      <c r="C183" s="719"/>
      <c r="D183" s="678"/>
      <c r="E183" s="678"/>
      <c r="F183" s="678"/>
      <c r="G183" s="678"/>
      <c r="H183" s="678"/>
      <c r="XFD183" s="678"/>
    </row>
    <row r="184" spans="2:8 16384:16384" x14ac:dyDescent="0.2">
      <c r="B184" s="682" t="s">
        <v>511</v>
      </c>
      <c r="C184" s="678">
        <v>30496959.555</v>
      </c>
      <c r="D184" s="678">
        <v>34548959.555</v>
      </c>
      <c r="E184" s="678">
        <v>40875959.555</v>
      </c>
      <c r="F184" s="678">
        <v>42953959.555</v>
      </c>
      <c r="G184" s="678">
        <v>45802959.555</v>
      </c>
      <c r="H184" s="678">
        <v>45802959.555</v>
      </c>
    </row>
    <row r="185" spans="2:8 16384:16384" x14ac:dyDescent="0.2">
      <c r="B185" s="720" t="s">
        <v>512</v>
      </c>
      <c r="C185" s="721">
        <v>14766818.484999999</v>
      </c>
      <c r="D185" s="721">
        <v>17984387.02656357</v>
      </c>
      <c r="E185" s="721">
        <v>23281688.650318917</v>
      </c>
      <c r="F185" s="721">
        <v>24208367.671334542</v>
      </c>
      <c r="G185" s="721">
        <v>25857001.815637834</v>
      </c>
      <c r="H185" s="721">
        <v>24582054.603776745</v>
      </c>
    </row>
    <row r="186" spans="2:8 16384:16384" x14ac:dyDescent="0.2">
      <c r="B186" s="720" t="s">
        <v>395</v>
      </c>
      <c r="C186" s="721">
        <v>0</v>
      </c>
      <c r="D186" s="721">
        <v>-834431.45843643101</v>
      </c>
      <c r="E186" s="721">
        <v>-1029698.3762446502</v>
      </c>
      <c r="F186" s="721">
        <v>-1151320.9789843762</v>
      </c>
      <c r="G186" s="721">
        <v>-1200365.8556967049</v>
      </c>
      <c r="H186" s="721">
        <v>-1274947.2118610884</v>
      </c>
    </row>
    <row r="189" spans="2:8 16384:16384" s="664" customFormat="1" x14ac:dyDescent="0.2">
      <c r="B189" s="663" t="s">
        <v>379</v>
      </c>
    </row>
    <row r="190" spans="2:8 16384:16384" x14ac:dyDescent="0.2">
      <c r="B190" s="674"/>
      <c r="C190" s="674"/>
      <c r="D190" s="674"/>
      <c r="E190" s="674"/>
      <c r="F190" s="674"/>
      <c r="G190" s="674"/>
      <c r="H190" s="674"/>
    </row>
    <row r="191" spans="2:8 16384:16384" x14ac:dyDescent="0.2">
      <c r="B191" s="718" t="s">
        <v>343</v>
      </c>
      <c r="C191" s="663">
        <v>2016</v>
      </c>
      <c r="D191" s="663">
        <v>2017</v>
      </c>
      <c r="E191" s="663">
        <v>2018</v>
      </c>
      <c r="F191" s="663">
        <v>2019</v>
      </c>
      <c r="G191" s="663">
        <v>2020</v>
      </c>
      <c r="H191" s="663">
        <v>2021</v>
      </c>
    </row>
    <row r="192" spans="2:8 16384:16384" x14ac:dyDescent="0.2">
      <c r="B192" s="662" t="s">
        <v>343</v>
      </c>
    </row>
    <row r="193" spans="2:9" x14ac:dyDescent="0.2">
      <c r="B193" s="662" t="s">
        <v>513</v>
      </c>
      <c r="C193" s="680">
        <v>716112422.17638183</v>
      </c>
      <c r="D193" s="678">
        <v>716112422.17638183</v>
      </c>
      <c r="E193" s="678">
        <v>716112422.17638183</v>
      </c>
      <c r="F193" s="678">
        <v>716112422.17638183</v>
      </c>
      <c r="G193" s="678">
        <v>716112422.17638183</v>
      </c>
      <c r="H193" s="678">
        <v>716112422.17638183</v>
      </c>
    </row>
    <row r="194" spans="2:9" x14ac:dyDescent="0.2">
      <c r="B194" s="662" t="s">
        <v>514</v>
      </c>
      <c r="C194" s="722">
        <v>0</v>
      </c>
      <c r="D194" s="678">
        <v>345480168</v>
      </c>
      <c r="E194" s="678">
        <v>345480168</v>
      </c>
      <c r="F194" s="678">
        <v>345480168</v>
      </c>
      <c r="G194" s="678">
        <v>345480168</v>
      </c>
      <c r="H194" s="678">
        <v>345480168</v>
      </c>
    </row>
    <row r="195" spans="2:9" x14ac:dyDescent="0.2">
      <c r="B195" s="662" t="s">
        <v>515</v>
      </c>
      <c r="C195" s="680">
        <v>97333227.92770189</v>
      </c>
      <c r="D195" s="678">
        <v>97333227.92770189</v>
      </c>
      <c r="E195" s="678">
        <v>97333227.92770189</v>
      </c>
      <c r="F195" s="678">
        <v>97333227.92770189</v>
      </c>
      <c r="G195" s="678">
        <v>97333227.92770189</v>
      </c>
      <c r="H195" s="678">
        <v>97333227.92770189</v>
      </c>
    </row>
    <row r="196" spans="2:9" x14ac:dyDescent="0.2">
      <c r="B196" s="662" t="s">
        <v>516</v>
      </c>
      <c r="C196" s="683">
        <v>0</v>
      </c>
      <c r="D196" s="678">
        <v>0</v>
      </c>
      <c r="E196" s="678">
        <v>0</v>
      </c>
      <c r="F196" s="678">
        <v>0</v>
      </c>
      <c r="G196" s="678">
        <v>0</v>
      </c>
      <c r="H196" s="678">
        <v>0</v>
      </c>
    </row>
    <row r="197" spans="2:9" ht="18.75" x14ac:dyDescent="0.3">
      <c r="B197" s="750" t="s">
        <v>517</v>
      </c>
      <c r="C197" s="751">
        <v>73970944.089778915</v>
      </c>
      <c r="D197" s="752">
        <v>74754953.82213901</v>
      </c>
      <c r="E197" s="752">
        <v>85001953.82213901</v>
      </c>
      <c r="F197" s="752">
        <v>89566953.82213901</v>
      </c>
      <c r="G197" s="752">
        <v>93635953.82213901</v>
      </c>
      <c r="H197" s="752">
        <v>93635953.82213901</v>
      </c>
    </row>
    <row r="199" spans="2:9" hidden="1" x14ac:dyDescent="0.2">
      <c r="B199" s="718" t="s">
        <v>362</v>
      </c>
      <c r="C199" s="663">
        <v>2016</v>
      </c>
      <c r="D199" s="663">
        <v>2017</v>
      </c>
      <c r="E199" s="663">
        <v>2018</v>
      </c>
      <c r="F199" s="663">
        <v>2019</v>
      </c>
      <c r="G199" s="663">
        <v>2020</v>
      </c>
      <c r="H199" s="663">
        <v>2021</v>
      </c>
    </row>
    <row r="200" spans="2:9" hidden="1" x14ac:dyDescent="0.2">
      <c r="B200" s="662" t="s">
        <v>513</v>
      </c>
      <c r="C200" s="678"/>
      <c r="D200" s="678">
        <v>0</v>
      </c>
      <c r="E200" s="678">
        <v>0</v>
      </c>
      <c r="F200" s="678">
        <v>0</v>
      </c>
      <c r="G200" s="678">
        <v>0</v>
      </c>
      <c r="H200" s="678">
        <v>0</v>
      </c>
    </row>
    <row r="201" spans="2:9" hidden="1" x14ac:dyDescent="0.2">
      <c r="B201" s="662" t="s">
        <v>514</v>
      </c>
      <c r="D201" s="678">
        <v>10734000</v>
      </c>
      <c r="E201" s="678">
        <v>133198000</v>
      </c>
      <c r="F201" s="678">
        <v>274920000</v>
      </c>
      <c r="G201" s="678">
        <v>232414000</v>
      </c>
      <c r="H201" s="678">
        <v>154141000</v>
      </c>
    </row>
    <row r="202" spans="2:9" hidden="1" x14ac:dyDescent="0.2">
      <c r="B202" s="662" t="s">
        <v>515</v>
      </c>
      <c r="C202" s="723">
        <v>0.7</v>
      </c>
      <c r="D202" s="678">
        <v>4792200</v>
      </c>
      <c r="E202" s="678">
        <v>5657400</v>
      </c>
      <c r="F202" s="678">
        <v>9018800</v>
      </c>
      <c r="G202" s="678">
        <v>5847800</v>
      </c>
      <c r="H202" s="678">
        <v>3154900</v>
      </c>
    </row>
    <row r="203" spans="2:9" hidden="1" x14ac:dyDescent="0.2">
      <c r="B203" s="662" t="s">
        <v>516</v>
      </c>
      <c r="C203" s="724">
        <v>0.30000000000000004</v>
      </c>
      <c r="D203" s="678">
        <v>2053800.0000000002</v>
      </c>
      <c r="E203" s="678">
        <v>2424600.0000000005</v>
      </c>
      <c r="F203" s="678">
        <v>3865200.0000000005</v>
      </c>
      <c r="G203" s="678">
        <v>2506200.0000000005</v>
      </c>
      <c r="H203" s="678">
        <v>1352100.0000000002</v>
      </c>
    </row>
    <row r="204" spans="2:9" hidden="1" x14ac:dyDescent="0.2">
      <c r="D204" s="678"/>
      <c r="E204" s="678"/>
      <c r="F204" s="678"/>
      <c r="G204" s="678"/>
      <c r="H204" s="678"/>
      <c r="I204" s="725"/>
    </row>
    <row r="205" spans="2:9" hidden="1" x14ac:dyDescent="0.2">
      <c r="B205" s="675" t="s">
        <v>518</v>
      </c>
      <c r="C205" s="663">
        <v>2016</v>
      </c>
      <c r="D205" s="663">
        <v>2017</v>
      </c>
      <c r="E205" s="663">
        <v>2018</v>
      </c>
      <c r="F205" s="663">
        <v>2019</v>
      </c>
      <c r="G205" s="663">
        <v>2020</v>
      </c>
      <c r="H205" s="663">
        <v>2021</v>
      </c>
      <c r="I205" s="725"/>
    </row>
    <row r="206" spans="2:9" hidden="1" x14ac:dyDescent="0.2">
      <c r="B206" s="662" t="s">
        <v>513</v>
      </c>
      <c r="D206" s="678">
        <v>0</v>
      </c>
      <c r="E206" s="678">
        <v>0</v>
      </c>
      <c r="F206" s="678">
        <v>0</v>
      </c>
      <c r="G206" s="678">
        <v>0</v>
      </c>
      <c r="H206" s="678">
        <v>0</v>
      </c>
    </row>
    <row r="207" spans="2:9" hidden="1" x14ac:dyDescent="0.2">
      <c r="B207" s="662" t="s">
        <v>514</v>
      </c>
      <c r="D207" s="678">
        <v>10734000</v>
      </c>
      <c r="E207" s="678">
        <v>143932000</v>
      </c>
      <c r="F207" s="678">
        <v>418852000</v>
      </c>
      <c r="G207" s="678">
        <v>651266000</v>
      </c>
      <c r="H207" s="678">
        <v>805407000</v>
      </c>
    </row>
    <row r="208" spans="2:9" hidden="1" x14ac:dyDescent="0.2">
      <c r="B208" s="662" t="s">
        <v>515</v>
      </c>
      <c r="D208" s="678">
        <v>4792200</v>
      </c>
      <c r="E208" s="678">
        <v>10449600</v>
      </c>
      <c r="F208" s="678">
        <v>19468400</v>
      </c>
      <c r="G208" s="678">
        <v>25316200</v>
      </c>
      <c r="H208" s="678">
        <v>28471100</v>
      </c>
    </row>
    <row r="209" spans="2:8" hidden="1" x14ac:dyDescent="0.2">
      <c r="B209" s="662" t="s">
        <v>516</v>
      </c>
      <c r="D209" s="678">
        <v>2053800.0000000002</v>
      </c>
      <c r="E209" s="678">
        <v>4478400.0000000009</v>
      </c>
      <c r="F209" s="678">
        <v>8343600.0000000019</v>
      </c>
      <c r="G209" s="678">
        <v>10849800.000000002</v>
      </c>
      <c r="H209" s="678">
        <v>12201900.000000002</v>
      </c>
    </row>
    <row r="210" spans="2:8" hidden="1" x14ac:dyDescent="0.2">
      <c r="D210" s="678"/>
      <c r="E210" s="678"/>
      <c r="F210" s="678"/>
      <c r="G210" s="678"/>
      <c r="H210" s="678"/>
    </row>
    <row r="211" spans="2:8" hidden="1" x14ac:dyDescent="0.2">
      <c r="B211" s="675" t="s">
        <v>519</v>
      </c>
      <c r="C211" s="663">
        <v>2016</v>
      </c>
      <c r="D211" s="663">
        <v>2017</v>
      </c>
      <c r="E211" s="663">
        <v>2018</v>
      </c>
      <c r="F211" s="663">
        <v>2019</v>
      </c>
      <c r="G211" s="663">
        <v>2020</v>
      </c>
      <c r="H211" s="663">
        <v>2021</v>
      </c>
    </row>
    <row r="212" spans="2:8" hidden="1" x14ac:dyDescent="0.2">
      <c r="B212" s="662" t="s">
        <v>513</v>
      </c>
      <c r="D212" s="678">
        <v>0</v>
      </c>
      <c r="E212" s="678">
        <v>0</v>
      </c>
      <c r="F212" s="678">
        <v>0</v>
      </c>
      <c r="G212" s="678">
        <v>0</v>
      </c>
      <c r="H212" s="678">
        <v>0</v>
      </c>
    </row>
    <row r="213" spans="2:8" hidden="1" x14ac:dyDescent="0.2">
      <c r="B213" s="662" t="s">
        <v>514</v>
      </c>
      <c r="D213" s="678">
        <v>7205013.6986301364</v>
      </c>
      <c r="E213" s="678">
        <v>89406876.712328762</v>
      </c>
      <c r="F213" s="678">
        <v>184535342.46575347</v>
      </c>
      <c r="G213" s="678">
        <v>58581063.013698637</v>
      </c>
      <c r="H213" s="678">
        <v>38851978.082191788</v>
      </c>
    </row>
    <row r="214" spans="2:8" hidden="1" x14ac:dyDescent="0.2">
      <c r="B214" s="662" t="s">
        <v>515</v>
      </c>
      <c r="D214" s="678">
        <v>3216682.1917808214</v>
      </c>
      <c r="E214" s="678">
        <v>3797432.8767123278</v>
      </c>
      <c r="F214" s="678">
        <v>6053715.0684931502</v>
      </c>
      <c r="G214" s="678">
        <v>1473966.0273972603</v>
      </c>
      <c r="H214" s="678">
        <v>795207.67123287672</v>
      </c>
    </row>
    <row r="215" spans="2:8" hidden="1" x14ac:dyDescent="0.2">
      <c r="B215" s="662" t="s">
        <v>516</v>
      </c>
      <c r="D215" s="678">
        <v>1378578.0821917809</v>
      </c>
      <c r="E215" s="678">
        <v>1627471.2328767122</v>
      </c>
      <c r="F215" s="678">
        <v>4044849.3150684931</v>
      </c>
      <c r="G215" s="678">
        <v>865203.28767123306</v>
      </c>
      <c r="H215" s="678">
        <v>340803.28767123295</v>
      </c>
    </row>
    <row r="216" spans="2:8" hidden="1" x14ac:dyDescent="0.2"/>
    <row r="217" spans="2:8" hidden="1" x14ac:dyDescent="0.2">
      <c r="B217" s="675"/>
      <c r="C217" s="663"/>
      <c r="D217" s="715" t="s">
        <v>520</v>
      </c>
      <c r="E217" s="715" t="s">
        <v>521</v>
      </c>
      <c r="F217" s="715" t="s">
        <v>522</v>
      </c>
      <c r="G217" s="715" t="s">
        <v>523</v>
      </c>
      <c r="H217" s="715" t="s">
        <v>524</v>
      </c>
    </row>
    <row r="218" spans="2:8" hidden="1" x14ac:dyDescent="0.2"/>
    <row r="219" spans="2:8" hidden="1" x14ac:dyDescent="0.2">
      <c r="B219" s="726" t="s">
        <v>498</v>
      </c>
      <c r="C219" s="727"/>
      <c r="D219" s="727"/>
      <c r="E219" s="727"/>
      <c r="F219" s="727"/>
      <c r="G219" s="727"/>
      <c r="H219" s="727"/>
    </row>
    <row r="220" spans="2:8" hidden="1" x14ac:dyDescent="0.2">
      <c r="B220" s="662" t="s">
        <v>525</v>
      </c>
      <c r="E220" s="678">
        <v>0</v>
      </c>
      <c r="F220" s="678">
        <v>0</v>
      </c>
      <c r="G220" s="678">
        <v>0</v>
      </c>
      <c r="H220" s="678">
        <v>0</v>
      </c>
    </row>
    <row r="221" spans="2:8" hidden="1" x14ac:dyDescent="0.2">
      <c r="B221" s="662" t="s">
        <v>526</v>
      </c>
      <c r="D221" s="710">
        <v>0</v>
      </c>
      <c r="E221" s="710">
        <v>0</v>
      </c>
      <c r="F221" s="710">
        <v>0</v>
      </c>
      <c r="G221" s="710">
        <v>0</v>
      </c>
      <c r="H221" s="710">
        <v>0</v>
      </c>
    </row>
    <row r="222" spans="2:8" hidden="1" x14ac:dyDescent="0.2">
      <c r="B222" s="726" t="s">
        <v>527</v>
      </c>
      <c r="C222" s="727"/>
      <c r="D222" s="727"/>
      <c r="E222" s="727"/>
      <c r="F222" s="727"/>
      <c r="G222" s="727"/>
      <c r="H222" s="727"/>
    </row>
    <row r="223" spans="2:8" hidden="1" x14ac:dyDescent="0.2">
      <c r="B223" s="662" t="s">
        <v>525</v>
      </c>
      <c r="E223" s="678">
        <v>3528986.3013698636</v>
      </c>
      <c r="F223" s="678">
        <v>43791123.287671238</v>
      </c>
      <c r="G223" s="678">
        <v>90384657.534246534</v>
      </c>
      <c r="H223" s="678">
        <v>173832936.98630136</v>
      </c>
    </row>
    <row r="224" spans="2:8" hidden="1" x14ac:dyDescent="0.2">
      <c r="B224" s="662" t="s">
        <v>526</v>
      </c>
      <c r="D224" s="710">
        <v>7205013.6986301364</v>
      </c>
      <c r="E224" s="710">
        <v>89406876.712328762</v>
      </c>
      <c r="F224" s="710">
        <v>184535342.46575347</v>
      </c>
      <c r="G224" s="710">
        <v>58581063.013698637</v>
      </c>
      <c r="H224" s="710">
        <v>38851978.082191788</v>
      </c>
    </row>
    <row r="225" spans="2:36" hidden="1" x14ac:dyDescent="0.2">
      <c r="B225" s="726" t="s">
        <v>528</v>
      </c>
      <c r="C225" s="727"/>
      <c r="D225" s="727"/>
      <c r="E225" s="727"/>
      <c r="F225" s="727"/>
      <c r="G225" s="727"/>
      <c r="H225" s="727"/>
    </row>
    <row r="226" spans="2:36" hidden="1" x14ac:dyDescent="0.2">
      <c r="B226" s="662" t="s">
        <v>525</v>
      </c>
      <c r="E226" s="678">
        <v>1575517.8082191786</v>
      </c>
      <c r="F226" s="678">
        <v>1859967.1232876722</v>
      </c>
      <c r="G226" s="678">
        <v>1721884.9315068503</v>
      </c>
      <c r="H226" s="678">
        <v>3161265.2054794524</v>
      </c>
    </row>
    <row r="227" spans="2:36" hidden="1" x14ac:dyDescent="0.2">
      <c r="B227" s="662" t="s">
        <v>526</v>
      </c>
      <c r="D227" s="710">
        <v>3216682.1917808214</v>
      </c>
      <c r="E227" s="710">
        <v>3797432.8767123278</v>
      </c>
      <c r="F227" s="710">
        <v>3515515.0684931497</v>
      </c>
      <c r="G227" s="710">
        <v>1065334.7945205478</v>
      </c>
      <c r="H227" s="710">
        <v>795207.67123287672</v>
      </c>
    </row>
    <row r="228" spans="2:36" hidden="1" x14ac:dyDescent="0.2">
      <c r="B228" s="726" t="s">
        <v>529</v>
      </c>
      <c r="C228" s="727"/>
      <c r="D228" s="727"/>
      <c r="E228" s="727"/>
      <c r="F228" s="727"/>
      <c r="G228" s="727"/>
      <c r="H228" s="727"/>
    </row>
    <row r="229" spans="2:36" hidden="1" x14ac:dyDescent="0.2">
      <c r="B229" s="662" t="s">
        <v>525</v>
      </c>
      <c r="E229" s="678">
        <v>675221.91780821932</v>
      </c>
      <c r="F229" s="678">
        <v>797128.76712328824</v>
      </c>
      <c r="G229" s="678">
        <v>737950.68493150733</v>
      </c>
      <c r="H229" s="678">
        <v>1354827.9452054796</v>
      </c>
    </row>
    <row r="230" spans="2:36" hidden="1" x14ac:dyDescent="0.2">
      <c r="B230" s="662" t="s">
        <v>526</v>
      </c>
      <c r="D230" s="710">
        <v>1378578.0821917809</v>
      </c>
      <c r="E230" s="710">
        <v>1627471.2328767122</v>
      </c>
      <c r="F230" s="710">
        <v>1506649.3150684931</v>
      </c>
      <c r="G230" s="710">
        <v>456572.05479452061</v>
      </c>
      <c r="H230" s="710">
        <v>340803.28767123295</v>
      </c>
    </row>
    <row r="231" spans="2:36" hidden="1" x14ac:dyDescent="0.2">
      <c r="D231" s="710"/>
      <c r="E231" s="710"/>
      <c r="F231" s="710"/>
      <c r="G231" s="710"/>
      <c r="H231" s="710"/>
    </row>
    <row r="232" spans="2:36" hidden="1" x14ac:dyDescent="0.2">
      <c r="B232" s="726" t="s">
        <v>498</v>
      </c>
      <c r="C232" s="727"/>
      <c r="D232" s="727"/>
      <c r="E232" s="727"/>
      <c r="F232" s="727"/>
      <c r="G232" s="727"/>
      <c r="H232" s="727"/>
    </row>
    <row r="233" spans="2:36" hidden="1" x14ac:dyDescent="0.2">
      <c r="B233" s="662" t="s">
        <v>530</v>
      </c>
      <c r="D233" s="728"/>
      <c r="E233" s="729">
        <v>0.75</v>
      </c>
      <c r="F233" s="729">
        <v>0.75</v>
      </c>
      <c r="G233" s="729">
        <v>0.75</v>
      </c>
      <c r="H233" s="729">
        <v>0.75</v>
      </c>
    </row>
    <row r="234" spans="2:36" hidden="1" x14ac:dyDescent="0.2">
      <c r="B234" s="662" t="s">
        <v>531</v>
      </c>
      <c r="D234" s="728"/>
      <c r="E234" s="729">
        <v>0.25</v>
      </c>
      <c r="F234" s="729">
        <v>0.25</v>
      </c>
      <c r="G234" s="729">
        <v>0.25</v>
      </c>
      <c r="H234" s="729">
        <v>0.25</v>
      </c>
    </row>
    <row r="235" spans="2:36" hidden="1" x14ac:dyDescent="0.2">
      <c r="B235" s="726" t="s">
        <v>527</v>
      </c>
      <c r="C235" s="727"/>
      <c r="D235" s="727"/>
      <c r="E235" s="727"/>
      <c r="F235" s="727"/>
      <c r="G235" s="727"/>
      <c r="H235" s="727"/>
    </row>
    <row r="236" spans="2:36" hidden="1" x14ac:dyDescent="0.2">
      <c r="B236" s="662" t="s">
        <v>530</v>
      </c>
      <c r="D236" s="728"/>
      <c r="E236" s="729">
        <v>0.75</v>
      </c>
      <c r="F236" s="729">
        <v>0.75</v>
      </c>
      <c r="G236" s="729">
        <v>0.75</v>
      </c>
      <c r="H236" s="729">
        <v>0.75</v>
      </c>
    </row>
    <row r="237" spans="2:36" hidden="1" x14ac:dyDescent="0.2">
      <c r="B237" s="662" t="s">
        <v>531</v>
      </c>
      <c r="D237" s="728"/>
      <c r="E237" s="729">
        <v>0.25</v>
      </c>
      <c r="F237" s="729">
        <v>0.25</v>
      </c>
      <c r="G237" s="729">
        <v>0.25</v>
      </c>
      <c r="H237" s="729">
        <v>0.25</v>
      </c>
    </row>
    <row r="238" spans="2:36" hidden="1" x14ac:dyDescent="0.2">
      <c r="B238" s="726" t="s">
        <v>528</v>
      </c>
      <c r="C238" s="727"/>
      <c r="D238" s="727"/>
      <c r="E238" s="730"/>
      <c r="F238" s="730"/>
      <c r="G238" s="730"/>
      <c r="H238" s="730"/>
    </row>
    <row r="239" spans="2:36" hidden="1" x14ac:dyDescent="0.2">
      <c r="B239" s="662" t="s">
        <v>530</v>
      </c>
      <c r="D239" s="728"/>
      <c r="E239" s="729">
        <v>0.75</v>
      </c>
      <c r="F239" s="729">
        <v>0.75</v>
      </c>
      <c r="G239" s="729">
        <v>0.75</v>
      </c>
      <c r="H239" s="729">
        <v>0.75</v>
      </c>
    </row>
    <row r="240" spans="2:36" hidden="1" x14ac:dyDescent="0.2">
      <c r="B240" s="662" t="s">
        <v>531</v>
      </c>
      <c r="D240" s="728"/>
      <c r="E240" s="729">
        <v>0.25</v>
      </c>
      <c r="F240" s="729">
        <v>0.25</v>
      </c>
      <c r="G240" s="729">
        <v>0.25</v>
      </c>
      <c r="H240" s="729">
        <v>0.25</v>
      </c>
      <c r="AH240" s="662" t="s">
        <v>44</v>
      </c>
      <c r="AI240" s="662">
        <v>2016</v>
      </c>
      <c r="AJ240" s="662" t="s">
        <v>532</v>
      </c>
    </row>
    <row r="241" spans="2:36" hidden="1" x14ac:dyDescent="0.2">
      <c r="B241" s="726" t="s">
        <v>529</v>
      </c>
      <c r="C241" s="727"/>
      <c r="D241" s="727"/>
      <c r="E241" s="727"/>
      <c r="F241" s="727"/>
      <c r="G241" s="727"/>
      <c r="H241" s="727"/>
      <c r="AH241" s="662" t="s">
        <v>533</v>
      </c>
      <c r="AI241" s="731">
        <v>694913522.67720389</v>
      </c>
      <c r="AJ241" s="681">
        <v>0.87005029167638925</v>
      </c>
    </row>
    <row r="242" spans="2:36" hidden="1" x14ac:dyDescent="0.2">
      <c r="B242" s="662" t="s">
        <v>530</v>
      </c>
      <c r="D242" s="728"/>
      <c r="E242" s="729">
        <v>0.75</v>
      </c>
      <c r="F242" s="729">
        <v>0.75</v>
      </c>
      <c r="G242" s="729">
        <v>0.75</v>
      </c>
      <c r="H242" s="729">
        <v>0.75</v>
      </c>
      <c r="AH242" s="662" t="s">
        <v>534</v>
      </c>
      <c r="AI242" s="731">
        <v>103791482.45331949</v>
      </c>
      <c r="AJ242" s="681">
        <v>0.12994970832361066</v>
      </c>
    </row>
    <row r="243" spans="2:36" hidden="1" x14ac:dyDescent="0.2">
      <c r="B243" s="662" t="s">
        <v>531</v>
      </c>
      <c r="D243" s="728"/>
      <c r="E243" s="729">
        <v>0.25</v>
      </c>
      <c r="F243" s="729">
        <v>0.25</v>
      </c>
      <c r="G243" s="729">
        <v>0.25</v>
      </c>
      <c r="H243" s="729">
        <v>0.25</v>
      </c>
      <c r="AH243" s="662" t="s">
        <v>400</v>
      </c>
      <c r="AI243" s="731">
        <v>798705005.13052344</v>
      </c>
    </row>
    <row r="244" spans="2:36" hidden="1" x14ac:dyDescent="0.2">
      <c r="D244" s="728"/>
      <c r="E244" s="728"/>
      <c r="F244" s="728"/>
      <c r="G244" s="728"/>
      <c r="H244" s="728"/>
    </row>
    <row r="245" spans="2:36" hidden="1" x14ac:dyDescent="0.2">
      <c r="B245" s="732" t="s">
        <v>535</v>
      </c>
      <c r="C245" s="732"/>
      <c r="D245" s="733"/>
      <c r="E245" s="734">
        <v>2130996.5753424661</v>
      </c>
      <c r="F245" s="734">
        <v>2273854.1095890417</v>
      </c>
      <c r="G245" s="734">
        <v>1557747.3972602747</v>
      </c>
      <c r="H245" s="734">
        <v>2569750.8219178086</v>
      </c>
    </row>
    <row r="246" spans="2:36" hidden="1" x14ac:dyDescent="0.2">
      <c r="B246" s="732" t="s">
        <v>536</v>
      </c>
      <c r="C246" s="732"/>
      <c r="D246" s="733"/>
      <c r="E246" s="734">
        <v>25911743.15068493</v>
      </c>
      <c r="F246" s="734">
        <v>79951686.986301377</v>
      </c>
      <c r="G246" s="734">
        <v>83101364.931506813</v>
      </c>
      <c r="H246" s="734">
        <v>141189019.04109588</v>
      </c>
    </row>
    <row r="248" spans="2:36" s="664" customFormat="1" hidden="1" x14ac:dyDescent="0.2">
      <c r="B248" s="663" t="s">
        <v>537</v>
      </c>
    </row>
    <row r="249" spans="2:36" hidden="1" x14ac:dyDescent="0.2"/>
    <row r="250" spans="2:36" hidden="1" x14ac:dyDescent="0.2">
      <c r="B250" s="675"/>
      <c r="C250" s="663">
        <v>2016</v>
      </c>
      <c r="D250" s="663">
        <v>2017</v>
      </c>
      <c r="E250" s="663">
        <v>2018</v>
      </c>
      <c r="F250" s="663">
        <v>2019</v>
      </c>
      <c r="G250" s="663">
        <v>2020</v>
      </c>
      <c r="H250" s="663">
        <v>2021</v>
      </c>
    </row>
    <row r="251" spans="2:36" hidden="1" x14ac:dyDescent="0.2">
      <c r="B251" s="662" t="s">
        <v>471</v>
      </c>
      <c r="C251" s="735">
        <v>3.5000000000000003E-2</v>
      </c>
      <c r="D251" s="736">
        <v>3.5000000000000003E-2</v>
      </c>
      <c r="E251" s="736">
        <v>3.5000000000000003E-2</v>
      </c>
      <c r="F251" s="736">
        <v>3.5000000000000003E-2</v>
      </c>
      <c r="G251" s="736">
        <v>3.5000000000000003E-2</v>
      </c>
      <c r="H251" s="736">
        <v>3.5000000000000003E-2</v>
      </c>
    </row>
    <row r="252" spans="2:36" hidden="1" x14ac:dyDescent="0.2">
      <c r="B252" s="662" t="s">
        <v>473</v>
      </c>
      <c r="C252" s="735">
        <v>3.5000000000000003E-2</v>
      </c>
      <c r="D252" s="736">
        <v>3.5000000000000003E-2</v>
      </c>
      <c r="E252" s="736">
        <v>3.5000000000000003E-2</v>
      </c>
      <c r="F252" s="736">
        <v>3.5000000000000003E-2</v>
      </c>
      <c r="G252" s="736">
        <v>3.5000000000000003E-2</v>
      </c>
      <c r="H252" s="736">
        <v>3.5000000000000003E-2</v>
      </c>
    </row>
    <row r="253" spans="2:36" hidden="1" x14ac:dyDescent="0.2">
      <c r="B253" s="662" t="s">
        <v>460</v>
      </c>
      <c r="C253" s="678"/>
      <c r="D253" s="678">
        <v>0</v>
      </c>
      <c r="E253" s="678">
        <v>0</v>
      </c>
      <c r="F253" s="678">
        <v>0</v>
      </c>
      <c r="G253" s="678">
        <v>0</v>
      </c>
      <c r="H253" s="678">
        <v>0</v>
      </c>
    </row>
    <row r="254" spans="2:36" hidden="1" x14ac:dyDescent="0.2">
      <c r="B254" s="662" t="s">
        <v>461</v>
      </c>
      <c r="C254" s="678"/>
      <c r="D254" s="678">
        <v>0</v>
      </c>
      <c r="E254" s="678">
        <v>0</v>
      </c>
      <c r="F254" s="678">
        <v>0</v>
      </c>
      <c r="G254" s="678">
        <v>0</v>
      </c>
      <c r="H254" s="678">
        <v>0</v>
      </c>
    </row>
    <row r="255" spans="2:36" hidden="1" x14ac:dyDescent="0.2">
      <c r="B255" s="662" t="s">
        <v>462</v>
      </c>
      <c r="C255" s="678"/>
      <c r="D255" s="678">
        <v>0</v>
      </c>
      <c r="E255" s="678">
        <v>0</v>
      </c>
      <c r="F255" s="678">
        <v>0</v>
      </c>
      <c r="G255" s="678">
        <v>0</v>
      </c>
      <c r="H255" s="678">
        <v>0</v>
      </c>
    </row>
    <row r="256" spans="2:36" hidden="1" x14ac:dyDescent="0.2">
      <c r="B256" s="662" t="s">
        <v>474</v>
      </c>
      <c r="C256" s="678"/>
      <c r="D256" s="678"/>
      <c r="E256" s="678"/>
      <c r="F256" s="678"/>
      <c r="G256" s="678"/>
      <c r="H256" s="678"/>
    </row>
    <row r="257" spans="2:8" hidden="1" x14ac:dyDescent="0.2">
      <c r="B257" s="662" t="s">
        <v>463</v>
      </c>
      <c r="C257" s="680">
        <v>0</v>
      </c>
      <c r="D257" s="722">
        <v>0</v>
      </c>
      <c r="E257" s="722">
        <v>0</v>
      </c>
      <c r="F257" s="722">
        <v>0</v>
      </c>
      <c r="G257" s="722">
        <v>0</v>
      </c>
      <c r="H257" s="722">
        <v>0</v>
      </c>
    </row>
    <row r="258" spans="2:8" hidden="1" x14ac:dyDescent="0.2">
      <c r="B258" s="662" t="s">
        <v>464</v>
      </c>
      <c r="C258" s="680">
        <v>0</v>
      </c>
      <c r="D258" s="678">
        <v>0</v>
      </c>
      <c r="E258" s="678">
        <v>0</v>
      </c>
      <c r="F258" s="678">
        <v>0</v>
      </c>
      <c r="G258" s="678">
        <v>0</v>
      </c>
      <c r="H258" s="678">
        <v>0</v>
      </c>
    </row>
    <row r="259" spans="2:8" hidden="1" x14ac:dyDescent="0.2">
      <c r="B259" s="662" t="s">
        <v>465</v>
      </c>
      <c r="C259" s="680">
        <v>0</v>
      </c>
      <c r="D259" s="678">
        <v>0</v>
      </c>
      <c r="E259" s="678">
        <v>0</v>
      </c>
      <c r="F259" s="678">
        <v>0</v>
      </c>
      <c r="G259" s="678">
        <v>0</v>
      </c>
      <c r="H259" s="678">
        <v>0</v>
      </c>
    </row>
    <row r="260" spans="2:8" hidden="1" x14ac:dyDescent="0.2">
      <c r="B260" s="662" t="s">
        <v>466</v>
      </c>
      <c r="C260" s="678">
        <v>0</v>
      </c>
      <c r="D260" s="678">
        <v>0</v>
      </c>
      <c r="E260" s="678">
        <v>0</v>
      </c>
      <c r="F260" s="678">
        <v>0</v>
      </c>
      <c r="G260" s="678">
        <v>0</v>
      </c>
      <c r="H260" s="678">
        <v>0</v>
      </c>
    </row>
    <row r="261" spans="2:8" hidden="1" x14ac:dyDescent="0.2"/>
    <row r="262" spans="2:8" x14ac:dyDescent="0.2">
      <c r="B262" s="718" t="s">
        <v>538</v>
      </c>
      <c r="C262" s="663">
        <v>2016</v>
      </c>
      <c r="D262" s="663">
        <v>2017</v>
      </c>
      <c r="E262" s="663">
        <v>2018</v>
      </c>
      <c r="F262" s="663">
        <v>2019</v>
      </c>
      <c r="G262" s="663">
        <v>2020</v>
      </c>
      <c r="H262" s="663">
        <v>2021</v>
      </c>
    </row>
    <row r="264" spans="2:8" x14ac:dyDescent="0.2">
      <c r="B264" s="662" t="s">
        <v>539</v>
      </c>
      <c r="C264" s="678">
        <v>702522925.19525671</v>
      </c>
      <c r="D264" s="678">
        <v>702522925.19525671</v>
      </c>
      <c r="E264" s="678">
        <v>702522925.19525671</v>
      </c>
      <c r="F264" s="678">
        <v>702522925.19525671</v>
      </c>
      <c r="G264" s="678">
        <v>702522925.19525671</v>
      </c>
      <c r="H264" s="678">
        <v>702522925.19525671</v>
      </c>
    </row>
    <row r="265" spans="2:8" x14ac:dyDescent="0.2">
      <c r="B265" s="662" t="s">
        <v>540</v>
      </c>
      <c r="C265" s="678">
        <v>59509771.119677946</v>
      </c>
      <c r="D265" s="678">
        <v>37090475.407267749</v>
      </c>
      <c r="E265" s="678">
        <v>35820847.100850888</v>
      </c>
      <c r="F265" s="678">
        <v>35313189.171780929</v>
      </c>
      <c r="G265" s="678">
        <v>35031801.633953579</v>
      </c>
      <c r="H265" s="678">
        <v>35569435.555025764</v>
      </c>
    </row>
    <row r="266" spans="2:8" x14ac:dyDescent="0.2">
      <c r="B266" s="662" t="s">
        <v>541</v>
      </c>
      <c r="C266" s="678">
        <v>36672308.815588608</v>
      </c>
      <c r="D266" s="678">
        <v>36672308.815588608</v>
      </c>
      <c r="E266" s="678">
        <v>36672308.815588608</v>
      </c>
      <c r="F266" s="678">
        <v>36672308.815588608</v>
      </c>
      <c r="G266" s="678">
        <v>36672308.815588608</v>
      </c>
      <c r="H266" s="678">
        <v>36672308.815588608</v>
      </c>
    </row>
    <row r="267" spans="2:8" x14ac:dyDescent="0.2">
      <c r="B267" s="737" t="s">
        <v>542</v>
      </c>
      <c r="C267" s="738">
        <v>798705005.1305232</v>
      </c>
      <c r="D267" s="738">
        <v>776285709.41811311</v>
      </c>
      <c r="E267" s="738">
        <v>775016081.11169624</v>
      </c>
      <c r="F267" s="738">
        <v>774508423.18262625</v>
      </c>
      <c r="G267" s="738">
        <v>774227035.64479887</v>
      </c>
      <c r="H267" s="738">
        <v>774764669.56587112</v>
      </c>
    </row>
    <row r="268" spans="2:8" x14ac:dyDescent="0.2">
      <c r="B268" s="662" t="s">
        <v>543</v>
      </c>
      <c r="C268" s="678"/>
      <c r="D268" s="678">
        <v>1842000</v>
      </c>
      <c r="E268" s="678">
        <v>91709000</v>
      </c>
      <c r="F268" s="678">
        <v>193381000</v>
      </c>
      <c r="G268" s="678">
        <v>74963000</v>
      </c>
      <c r="H268" s="678">
        <v>764000</v>
      </c>
    </row>
    <row r="269" spans="2:8" ht="18.75" x14ac:dyDescent="0.3">
      <c r="B269" s="662" t="s">
        <v>544</v>
      </c>
      <c r="C269" s="749">
        <v>65601620.907903925</v>
      </c>
      <c r="D269" s="678">
        <v>65605672.907903925</v>
      </c>
      <c r="E269" s="678">
        <v>65611999.907903925</v>
      </c>
      <c r="F269" s="678">
        <v>65614077.907903925</v>
      </c>
      <c r="G269" s="678">
        <v>65616926.907903925</v>
      </c>
      <c r="H269" s="678">
        <v>65616926.907903925</v>
      </c>
    </row>
    <row r="270" spans="2:8" x14ac:dyDescent="0.2">
      <c r="B270" s="739" t="s">
        <v>1</v>
      </c>
      <c r="C270" s="740">
        <v>864306626.03842711</v>
      </c>
      <c r="D270" s="740">
        <v>843733382.32601702</v>
      </c>
      <c r="E270" s="740">
        <v>932337081.01960015</v>
      </c>
      <c r="F270" s="740">
        <v>1033503501.0905302</v>
      </c>
      <c r="G270" s="740">
        <v>914806962.55270278</v>
      </c>
      <c r="H270" s="740">
        <v>841145596.47377503</v>
      </c>
    </row>
    <row r="272" spans="2:8" s="664" customFormat="1" x14ac:dyDescent="0.2">
      <c r="B272" s="663" t="s">
        <v>545</v>
      </c>
    </row>
    <row r="273" spans="2:8" ht="15.75" x14ac:dyDescent="0.25">
      <c r="B273" s="741"/>
      <c r="C273"/>
      <c r="D273"/>
      <c r="E273"/>
      <c r="F273"/>
    </row>
    <row r="274" spans="2:8" x14ac:dyDescent="0.2">
      <c r="B274" s="742" t="s">
        <v>546</v>
      </c>
      <c r="C274" s="716" t="s">
        <v>547</v>
      </c>
      <c r="D274" s="710">
        <v>13366831.17</v>
      </c>
      <c r="E274"/>
      <c r="F274"/>
      <c r="G274"/>
      <c r="H274"/>
    </row>
    <row r="275" spans="2:8" x14ac:dyDescent="0.2">
      <c r="B275" s="742" t="s">
        <v>548</v>
      </c>
      <c r="C275" s="716" t="s">
        <v>549</v>
      </c>
      <c r="D275" s="743">
        <v>1.9107183478632885</v>
      </c>
      <c r="E275"/>
      <c r="F275"/>
      <c r="G275"/>
      <c r="H275" s="744"/>
    </row>
    <row r="276" spans="2:8" x14ac:dyDescent="0.2">
      <c r="B276" s="742" t="s">
        <v>550</v>
      </c>
      <c r="C276" s="716" t="s">
        <v>547</v>
      </c>
      <c r="D276" s="710">
        <v>25540249.569309909</v>
      </c>
      <c r="E276"/>
      <c r="F276" s="29"/>
      <c r="G276"/>
      <c r="H276" s="744"/>
    </row>
    <row r="277" spans="2:8" x14ac:dyDescent="0.2">
      <c r="B277" s="742" t="s">
        <v>551</v>
      </c>
      <c r="C277" s="745" t="s">
        <v>19</v>
      </c>
      <c r="D277" s="746">
        <v>0.1</v>
      </c>
      <c r="E277" s="29"/>
      <c r="F277" s="29"/>
      <c r="G277"/>
      <c r="H277" s="744"/>
    </row>
    <row r="278" spans="2:8" x14ac:dyDescent="0.2">
      <c r="F278"/>
      <c r="G278"/>
      <c r="H278"/>
    </row>
    <row r="279" spans="2:8" x14ac:dyDescent="0.2">
      <c r="B279" s="718" t="s">
        <v>552</v>
      </c>
      <c r="C279" s="663">
        <v>2016</v>
      </c>
      <c r="D279" s="663">
        <v>2017</v>
      </c>
      <c r="E279" s="663">
        <v>2018</v>
      </c>
      <c r="F279" s="663">
        <v>2019</v>
      </c>
      <c r="G279" s="663">
        <v>2020</v>
      </c>
      <c r="H279" s="663">
        <v>2021</v>
      </c>
    </row>
    <row r="280" spans="2:8" x14ac:dyDescent="0.2">
      <c r="B280" s="673" t="s">
        <v>553</v>
      </c>
      <c r="C280" s="710">
        <v>381041599.13403386</v>
      </c>
      <c r="D280" s="710">
        <v>726521767.1340338</v>
      </c>
      <c r="E280" s="710">
        <v>726521767.1340338</v>
      </c>
      <c r="F280" s="710">
        <v>726521767.1340338</v>
      </c>
      <c r="G280" s="710">
        <v>726521767.1340338</v>
      </c>
      <c r="H280" s="710">
        <v>726521767.1340338</v>
      </c>
    </row>
    <row r="281" spans="2:8" x14ac:dyDescent="0.2">
      <c r="B281" s="673" t="s">
        <v>554</v>
      </c>
      <c r="C281" s="678">
        <v>32277520.829999998</v>
      </c>
      <c r="D281" s="678">
        <v>38357520.829999998</v>
      </c>
      <c r="E281" s="678">
        <v>37044520.829999998</v>
      </c>
      <c r="F281" s="678">
        <v>36519520.829999998</v>
      </c>
      <c r="G281" s="678">
        <v>36228520.829999998</v>
      </c>
      <c r="H281" s="678">
        <v>36784520.829999998</v>
      </c>
    </row>
    <row r="282" spans="2:8" x14ac:dyDescent="0.2">
      <c r="B282" s="673" t="s">
        <v>555</v>
      </c>
      <c r="C282" s="747">
        <v>8.4708653604632214E-2</v>
      </c>
      <c r="D282" s="747">
        <v>5.2796106827345111E-2</v>
      </c>
      <c r="E282" s="748">
        <v>5.0988865724054443E-2</v>
      </c>
      <c r="F282" s="747">
        <v>5.0266244566988486E-2</v>
      </c>
      <c r="G282" s="747">
        <v>4.986570598278621E-2</v>
      </c>
      <c r="H282" s="747">
        <v>5.0630996198650351E-2</v>
      </c>
    </row>
    <row r="283" spans="2:8" x14ac:dyDescent="0.2">
      <c r="B283" s="673" t="s">
        <v>556</v>
      </c>
      <c r="C283" s="678">
        <v>38104159.913403384</v>
      </c>
      <c r="D283" s="678">
        <v>72652176.713403389</v>
      </c>
      <c r="E283" s="678">
        <v>72652176.713403389</v>
      </c>
      <c r="F283" s="678">
        <v>72652176.713403389</v>
      </c>
      <c r="G283" s="678">
        <v>72652176.713403389</v>
      </c>
      <c r="H283" s="678">
        <v>72652176.713403389</v>
      </c>
    </row>
    <row r="284" spans="2:8" x14ac:dyDescent="0.2">
      <c r="B284" s="673" t="s">
        <v>557</v>
      </c>
      <c r="C284" s="678">
        <v>45644352</v>
      </c>
      <c r="D284" s="678">
        <v>51724352</v>
      </c>
      <c r="E284" s="678">
        <v>50411352</v>
      </c>
      <c r="F284" s="678">
        <v>49886352</v>
      </c>
      <c r="G284" s="678">
        <v>49595352</v>
      </c>
      <c r="H284" s="678">
        <v>50151352</v>
      </c>
    </row>
    <row r="285" spans="2:8" x14ac:dyDescent="0.2">
      <c r="B285" s="673" t="s">
        <v>558</v>
      </c>
      <c r="C285" s="747">
        <v>8.4708653604632214E-2</v>
      </c>
      <c r="D285" s="747">
        <v>5.2796106827345111E-2</v>
      </c>
      <c r="E285" s="747">
        <v>5.0988865724054443E-2</v>
      </c>
      <c r="F285" s="747">
        <v>5.0266244566988486E-2</v>
      </c>
      <c r="G285" s="747">
        <v>4.986570598278621E-2</v>
      </c>
      <c r="H285" s="747">
        <v>5.0630996198650351E-2</v>
      </c>
    </row>
    <row r="286" spans="2:8" x14ac:dyDescent="0.2">
      <c r="E286" s="7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-0.499984740745262"/>
    <pageSetUpPr fitToPage="1"/>
  </sheetPr>
  <dimension ref="A1:P284"/>
  <sheetViews>
    <sheetView showGridLines="0" zoomScale="70" zoomScaleNormal="70" workbookViewId="0">
      <pane ySplit="4" topLeftCell="A152" activePane="bottomLeft" state="frozen"/>
      <selection activeCell="E166" sqref="E166"/>
      <selection pane="bottomLeft" activeCell="E166" sqref="E166"/>
    </sheetView>
  </sheetViews>
  <sheetFormatPr baseColWidth="10" defaultColWidth="9.140625" defaultRowHeight="12.75" outlineLevelRow="2" outlineLevelCol="2" x14ac:dyDescent="0.2"/>
  <cols>
    <col min="1" max="1" width="3.7109375" style="428" customWidth="1" collapsed="1"/>
    <col min="2" max="2" width="50.5703125" style="428" customWidth="1" collapsed="1"/>
    <col min="3" max="3" width="11.7109375" style="428" customWidth="1" outlineLevel="2" collapsed="1"/>
    <col min="4" max="4" width="15.5703125" style="428" customWidth="1" outlineLevel="1"/>
    <col min="5" max="5" width="15.5703125" style="428" customWidth="1"/>
    <col min="6" max="9" width="15.5703125" style="428" customWidth="1" collapsed="1"/>
    <col min="10" max="10" width="15.7109375" style="428" customWidth="1" collapsed="1"/>
    <col min="11" max="11" width="15.7109375" style="428" customWidth="1" outlineLevel="1" collapsed="1"/>
    <col min="12" max="12" width="118" style="428" bestFit="1" customWidth="1" outlineLevel="1" collapsed="1"/>
    <col min="13" max="13" width="10.7109375" style="428" customWidth="1"/>
    <col min="14" max="14" width="10.42578125" style="428" customWidth="1" collapsed="1"/>
    <col min="15" max="15" width="10.5703125" style="428" customWidth="1" collapsed="1"/>
    <col min="16" max="16384" width="9.140625" style="428" collapsed="1"/>
  </cols>
  <sheetData>
    <row r="1" spans="2:14" s="424" customFormat="1" ht="15" x14ac:dyDescent="0.25">
      <c r="B1" s="423"/>
      <c r="C1" s="423"/>
      <c r="D1" s="423"/>
      <c r="E1" s="423"/>
      <c r="F1" s="423"/>
      <c r="G1" s="423"/>
      <c r="H1" s="423"/>
      <c r="I1" s="423"/>
    </row>
    <row r="2" spans="2:14" s="424" customFormat="1" x14ac:dyDescent="0.2">
      <c r="B2" s="1716" t="s">
        <v>349</v>
      </c>
      <c r="C2" s="1716"/>
      <c r="D2" s="1716"/>
      <c r="E2" s="1716"/>
      <c r="F2" s="1716"/>
      <c r="G2" s="1716"/>
      <c r="H2" s="1716"/>
      <c r="I2" s="1716"/>
    </row>
    <row r="3" spans="2:14" s="424" customFormat="1" x14ac:dyDescent="0.2">
      <c r="B3" s="1716" t="s">
        <v>350</v>
      </c>
      <c r="C3" s="1716"/>
      <c r="D3" s="1716"/>
      <c r="E3" s="1716"/>
      <c r="F3" s="1716"/>
      <c r="G3" s="1716"/>
      <c r="H3" s="1716"/>
      <c r="I3" s="1716"/>
    </row>
    <row r="4" spans="2:14" s="424" customFormat="1" x14ac:dyDescent="0.2">
      <c r="B4" s="1716" t="s">
        <v>73</v>
      </c>
      <c r="C4" s="1716"/>
      <c r="D4" s="1716"/>
      <c r="E4" s="1716"/>
      <c r="F4" s="1716"/>
      <c r="G4" s="1716"/>
      <c r="H4" s="1716"/>
      <c r="I4" s="1716"/>
    </row>
    <row r="5" spans="2:14" s="424" customFormat="1" x14ac:dyDescent="0.2"/>
    <row r="6" spans="2:14" s="426" customFormat="1" outlineLevel="1" x14ac:dyDescent="0.2">
      <c r="B6" s="425" t="s">
        <v>351</v>
      </c>
    </row>
    <row r="7" spans="2:14" ht="13.5" outlineLevel="1" thickBot="1" x14ac:dyDescent="0.25">
      <c r="B7" s="427"/>
      <c r="C7" s="427"/>
      <c r="D7" s="427"/>
      <c r="E7" s="427"/>
      <c r="F7" s="427"/>
      <c r="G7" s="427"/>
      <c r="H7" s="427"/>
      <c r="I7" s="427"/>
    </row>
    <row r="8" spans="2:14" outlineLevel="1" x14ac:dyDescent="0.2">
      <c r="B8" s="411"/>
      <c r="C8" s="409" t="s">
        <v>17</v>
      </c>
      <c r="D8" s="409">
        <v>2016</v>
      </c>
      <c r="E8" s="409">
        <v>2017</v>
      </c>
      <c r="F8" s="409">
        <v>2018</v>
      </c>
      <c r="G8" s="409">
        <v>2019</v>
      </c>
      <c r="H8" s="409">
        <v>2020</v>
      </c>
      <c r="I8" s="408">
        <v>2021</v>
      </c>
    </row>
    <row r="9" spans="2:14" outlineLevel="1" x14ac:dyDescent="0.2">
      <c r="B9" s="429" t="s">
        <v>18</v>
      </c>
      <c r="C9" s="405" t="s">
        <v>19</v>
      </c>
      <c r="D9" s="430"/>
      <c r="E9" s="431">
        <v>1.9742400000000004E-2</v>
      </c>
      <c r="F9" s="430">
        <v>1.9742400000000004E-2</v>
      </c>
      <c r="G9" s="430">
        <v>1.9742400000000004E-2</v>
      </c>
      <c r="H9" s="430">
        <v>1.9742400000000004E-2</v>
      </c>
      <c r="I9" s="432">
        <v>1.9742400000000004E-2</v>
      </c>
      <c r="J9" s="433"/>
      <c r="K9" s="433"/>
      <c r="N9" s="434"/>
    </row>
    <row r="10" spans="2:14" ht="13.5" outlineLevel="1" thickBot="1" x14ac:dyDescent="0.25">
      <c r="B10" s="435" t="s">
        <v>20</v>
      </c>
      <c r="C10" s="402" t="s">
        <v>19</v>
      </c>
      <c r="D10" s="436"/>
      <c r="E10" s="437">
        <v>7.9074074074074064E-3</v>
      </c>
      <c r="F10" s="436">
        <v>7.9074074074074064E-3</v>
      </c>
      <c r="G10" s="436">
        <v>7.9074074074074064E-3</v>
      </c>
      <c r="H10" s="436">
        <v>7.9074074074074064E-3</v>
      </c>
      <c r="I10" s="438">
        <v>7.9074074074074064E-3</v>
      </c>
      <c r="J10" s="433"/>
      <c r="K10" s="433"/>
    </row>
    <row r="11" spans="2:14" ht="13.5" outlineLevel="1" thickBot="1" x14ac:dyDescent="0.25">
      <c r="E11" s="439"/>
      <c r="F11" s="439"/>
      <c r="G11" s="439"/>
      <c r="H11" s="439"/>
      <c r="I11" s="439"/>
      <c r="J11" s="433"/>
      <c r="K11" s="433"/>
    </row>
    <row r="12" spans="2:14" outlineLevel="1" x14ac:dyDescent="0.2">
      <c r="B12" s="440" t="s">
        <v>352</v>
      </c>
      <c r="C12" s="441" t="s">
        <v>19</v>
      </c>
      <c r="D12" s="442">
        <v>3.5000000000000003E-2</v>
      </c>
      <c r="E12" s="439"/>
      <c r="F12" s="439"/>
      <c r="G12" s="439"/>
      <c r="H12" s="439"/>
      <c r="I12" s="439"/>
      <c r="J12" s="443"/>
      <c r="K12" s="443"/>
    </row>
    <row r="13" spans="2:14" ht="13.5" outlineLevel="1" thickBot="1" x14ac:dyDescent="0.25">
      <c r="B13" s="444" t="s">
        <v>21</v>
      </c>
      <c r="C13" s="445" t="s">
        <v>19</v>
      </c>
      <c r="D13" s="446">
        <v>7.7600000000000002E-2</v>
      </c>
      <c r="E13" s="439"/>
      <c r="F13" s="439"/>
      <c r="G13" s="439"/>
      <c r="H13" s="439"/>
      <c r="I13" s="439"/>
      <c r="J13" s="443"/>
      <c r="K13" s="443"/>
    </row>
    <row r="14" spans="2:14" outlineLevel="1" x14ac:dyDescent="0.2">
      <c r="B14" s="447"/>
      <c r="J14" s="448"/>
      <c r="K14" s="448"/>
    </row>
    <row r="15" spans="2:14" s="426" customFormat="1" outlineLevel="1" x14ac:dyDescent="0.2">
      <c r="B15" s="425" t="s">
        <v>353</v>
      </c>
    </row>
    <row r="16" spans="2:14" ht="13.5" customHeight="1" outlineLevel="1" x14ac:dyDescent="0.2">
      <c r="B16" s="428" t="s">
        <v>354</v>
      </c>
    </row>
    <row r="17" spans="2:13" ht="13.5" customHeight="1" outlineLevel="1" thickBot="1" x14ac:dyDescent="0.25">
      <c r="B17" s="427"/>
    </row>
    <row r="18" spans="2:13" ht="13.5" customHeight="1" outlineLevel="1" x14ac:dyDescent="0.2">
      <c r="B18" s="411" t="s">
        <v>343</v>
      </c>
      <c r="C18" s="409" t="s">
        <v>17</v>
      </c>
      <c r="D18" s="409">
        <v>2016</v>
      </c>
      <c r="E18" s="409">
        <v>2017</v>
      </c>
      <c r="F18" s="409">
        <v>2018</v>
      </c>
      <c r="G18" s="409">
        <v>2019</v>
      </c>
      <c r="H18" s="409">
        <v>2020</v>
      </c>
      <c r="I18" s="408">
        <v>2021</v>
      </c>
    </row>
    <row r="19" spans="2:13" outlineLevel="1" x14ac:dyDescent="0.2">
      <c r="B19" s="413" t="s">
        <v>355</v>
      </c>
      <c r="C19" s="405" t="s">
        <v>338</v>
      </c>
      <c r="D19" s="449">
        <v>413319.11996403383</v>
      </c>
      <c r="E19" s="449">
        <v>413319.11996403383</v>
      </c>
      <c r="F19" s="449">
        <v>413319.11996403383</v>
      </c>
      <c r="G19" s="449">
        <v>413319.11996403383</v>
      </c>
      <c r="H19" s="449">
        <v>413319.11996403383</v>
      </c>
      <c r="I19" s="450">
        <v>413319.11996403383</v>
      </c>
    </row>
    <row r="20" spans="2:13" outlineLevel="1" x14ac:dyDescent="0.2">
      <c r="B20" s="413" t="s">
        <v>356</v>
      </c>
      <c r="C20" s="405" t="s">
        <v>338</v>
      </c>
      <c r="D20" s="449">
        <v>0</v>
      </c>
      <c r="E20" s="449">
        <v>345480.16800000001</v>
      </c>
      <c r="F20" s="449">
        <v>345480.16800000001</v>
      </c>
      <c r="G20" s="449">
        <v>345480.16800000001</v>
      </c>
      <c r="H20" s="449">
        <v>345480.16800000001</v>
      </c>
      <c r="I20" s="450">
        <v>345480.16800000001</v>
      </c>
    </row>
    <row r="21" spans="2:13" ht="23.25" outlineLevel="1" x14ac:dyDescent="0.35">
      <c r="B21" s="413" t="s">
        <v>342</v>
      </c>
      <c r="C21" s="405" t="s">
        <v>338</v>
      </c>
      <c r="D21" s="667">
        <v>30496.959555000001</v>
      </c>
      <c r="E21" s="667">
        <v>34548.959555000001</v>
      </c>
      <c r="F21" s="667">
        <v>40875.959555000001</v>
      </c>
      <c r="G21" s="667">
        <v>42953.959555000001</v>
      </c>
      <c r="H21" s="667">
        <v>45802.959555000001</v>
      </c>
      <c r="I21" s="668">
        <v>45802.959555000001</v>
      </c>
    </row>
    <row r="22" spans="2:13" outlineLevel="1" x14ac:dyDescent="0.2">
      <c r="B22" s="451" t="s">
        <v>357</v>
      </c>
      <c r="C22" s="452" t="s">
        <v>338</v>
      </c>
      <c r="D22" s="453">
        <v>0</v>
      </c>
      <c r="E22" s="453">
        <v>0</v>
      </c>
      <c r="F22" s="453">
        <v>0</v>
      </c>
      <c r="G22" s="453">
        <v>0</v>
      </c>
      <c r="H22" s="453">
        <v>0</v>
      </c>
      <c r="I22" s="454">
        <v>0</v>
      </c>
    </row>
    <row r="23" spans="2:13" outlineLevel="1" x14ac:dyDescent="0.2">
      <c r="B23" s="413" t="s">
        <v>358</v>
      </c>
      <c r="C23" s="405" t="s">
        <v>338</v>
      </c>
      <c r="D23" s="449">
        <v>204259.9661240339</v>
      </c>
      <c r="E23" s="449">
        <v>188786.04443471515</v>
      </c>
      <c r="F23" s="449">
        <v>173312.12274539642</v>
      </c>
      <c r="G23" s="449">
        <v>157838.20105607776</v>
      </c>
      <c r="H23" s="449">
        <v>142364.27936675903</v>
      </c>
      <c r="I23" s="450">
        <v>126890.35767744032</v>
      </c>
    </row>
    <row r="24" spans="2:13" outlineLevel="1" x14ac:dyDescent="0.2">
      <c r="B24" s="413" t="s">
        <v>359</v>
      </c>
      <c r="C24" s="405" t="s">
        <v>338</v>
      </c>
      <c r="D24" s="449">
        <v>0</v>
      </c>
      <c r="E24" s="449">
        <v>339449.17887037195</v>
      </c>
      <c r="F24" s="449">
        <v>327413.30672753748</v>
      </c>
      <c r="G24" s="449">
        <v>315377.43458470295</v>
      </c>
      <c r="H24" s="449">
        <v>303341.56244186847</v>
      </c>
      <c r="I24" s="450">
        <v>291305.690299034</v>
      </c>
    </row>
    <row r="25" spans="2:13" outlineLevel="1" x14ac:dyDescent="0.2">
      <c r="B25" s="413" t="s">
        <v>360</v>
      </c>
      <c r="C25" s="405" t="s">
        <v>338</v>
      </c>
      <c r="D25" s="449">
        <v>14766.818485</v>
      </c>
      <c r="E25" s="449">
        <v>17984.387026563571</v>
      </c>
      <c r="F25" s="449">
        <v>23281.688650318916</v>
      </c>
      <c r="G25" s="449">
        <v>24208.367671334541</v>
      </c>
      <c r="H25" s="449">
        <v>25857.001815637836</v>
      </c>
      <c r="I25" s="450">
        <v>24582.054603776745</v>
      </c>
    </row>
    <row r="26" spans="2:13" ht="13.5" outlineLevel="1" thickBot="1" x14ac:dyDescent="0.25">
      <c r="B26" s="455" t="s">
        <v>361</v>
      </c>
      <c r="C26" s="456" t="s">
        <v>338</v>
      </c>
      <c r="D26" s="457">
        <v>0</v>
      </c>
      <c r="E26" s="457">
        <v>0</v>
      </c>
      <c r="F26" s="457">
        <v>0</v>
      </c>
      <c r="G26" s="457">
        <v>0</v>
      </c>
      <c r="H26" s="457">
        <v>0</v>
      </c>
      <c r="I26" s="458">
        <v>0</v>
      </c>
    </row>
    <row r="27" spans="2:13" outlineLevel="1" x14ac:dyDescent="0.2">
      <c r="C27" s="459"/>
      <c r="D27" s="460"/>
      <c r="E27" s="460"/>
      <c r="F27" s="460"/>
      <c r="G27" s="460"/>
      <c r="H27" s="460"/>
      <c r="I27" s="460"/>
    </row>
    <row r="28" spans="2:13" ht="13.5" hidden="1" outlineLevel="1" thickBot="1" x14ac:dyDescent="0.25">
      <c r="B28" s="461" t="s">
        <v>362</v>
      </c>
      <c r="C28" s="409" t="s">
        <v>17</v>
      </c>
      <c r="D28" s="409">
        <v>2016</v>
      </c>
      <c r="E28" s="409">
        <v>2017</v>
      </c>
      <c r="F28" s="409">
        <v>2018</v>
      </c>
      <c r="G28" s="409">
        <v>2019</v>
      </c>
      <c r="H28" s="409">
        <v>2020</v>
      </c>
      <c r="I28" s="408">
        <v>2021</v>
      </c>
      <c r="K28" s="462" t="s">
        <v>363</v>
      </c>
      <c r="L28" s="462" t="s">
        <v>364</v>
      </c>
    </row>
    <row r="29" spans="2:13" hidden="1" outlineLevel="1" x14ac:dyDescent="0.2">
      <c r="B29" s="413" t="s">
        <v>365</v>
      </c>
      <c r="C29" s="405" t="s">
        <v>338</v>
      </c>
      <c r="D29" s="453"/>
      <c r="E29" s="453">
        <v>0</v>
      </c>
      <c r="F29" s="460">
        <v>0</v>
      </c>
      <c r="G29" s="453">
        <v>0</v>
      </c>
      <c r="H29" s="453">
        <v>0</v>
      </c>
      <c r="I29" s="463">
        <v>0</v>
      </c>
      <c r="K29" s="464" t="s">
        <v>366</v>
      </c>
      <c r="L29" s="465" t="s">
        <v>367</v>
      </c>
      <c r="M29" s="466" t="s">
        <v>368</v>
      </c>
    </row>
    <row r="30" spans="2:13" hidden="1" outlineLevel="1" x14ac:dyDescent="0.2">
      <c r="B30" s="413" t="s">
        <v>369</v>
      </c>
      <c r="C30" s="405" t="s">
        <v>338</v>
      </c>
      <c r="D30" s="453"/>
      <c r="E30" s="453">
        <v>0</v>
      </c>
      <c r="F30" s="460">
        <v>0</v>
      </c>
      <c r="G30" s="453">
        <v>0</v>
      </c>
      <c r="H30" s="453">
        <v>0</v>
      </c>
      <c r="I30" s="463">
        <v>0</v>
      </c>
      <c r="K30" s="467" t="s">
        <v>366</v>
      </c>
      <c r="L30" s="468" t="s">
        <v>370</v>
      </c>
      <c r="M30" s="466" t="s">
        <v>366</v>
      </c>
    </row>
    <row r="31" spans="2:13" hidden="1" outlineLevel="1" x14ac:dyDescent="0.2">
      <c r="B31" s="413" t="s">
        <v>371</v>
      </c>
      <c r="C31" s="405" t="s">
        <v>338</v>
      </c>
      <c r="D31" s="453"/>
      <c r="E31" s="453">
        <v>0</v>
      </c>
      <c r="F31" s="460">
        <v>0</v>
      </c>
      <c r="G31" s="453">
        <v>0</v>
      </c>
      <c r="H31" s="453">
        <v>0</v>
      </c>
      <c r="I31" s="463">
        <v>0</v>
      </c>
      <c r="K31" s="467" t="s">
        <v>366</v>
      </c>
      <c r="L31" s="468"/>
    </row>
    <row r="32" spans="2:13" ht="13.5" hidden="1" outlineLevel="1" thickBot="1" x14ac:dyDescent="0.25">
      <c r="B32" s="469" t="s">
        <v>372</v>
      </c>
      <c r="C32" s="402" t="s">
        <v>338</v>
      </c>
      <c r="D32" s="470"/>
      <c r="E32" s="470">
        <v>0</v>
      </c>
      <c r="F32" s="471">
        <v>0</v>
      </c>
      <c r="G32" s="470">
        <v>0</v>
      </c>
      <c r="H32" s="470">
        <v>0</v>
      </c>
      <c r="I32" s="472">
        <v>0</v>
      </c>
      <c r="K32" s="473" t="s">
        <v>366</v>
      </c>
      <c r="L32" s="474"/>
    </row>
    <row r="33" spans="2:13" hidden="1" outlineLevel="1" x14ac:dyDescent="0.2">
      <c r="B33" s="447"/>
      <c r="C33" s="475"/>
      <c r="D33" s="460"/>
      <c r="E33" s="460"/>
      <c r="F33" s="460"/>
      <c r="G33" s="460"/>
      <c r="H33" s="460"/>
      <c r="I33" s="460"/>
    </row>
    <row r="34" spans="2:13" ht="13.5" hidden="1" outlineLevel="1" thickBot="1" x14ac:dyDescent="0.25">
      <c r="B34" s="461" t="s">
        <v>373</v>
      </c>
      <c r="C34" s="409" t="s">
        <v>17</v>
      </c>
      <c r="D34" s="409">
        <v>2016</v>
      </c>
      <c r="E34" s="409">
        <v>2017</v>
      </c>
      <c r="F34" s="409">
        <v>2018</v>
      </c>
      <c r="G34" s="409">
        <v>2019</v>
      </c>
      <c r="H34" s="409">
        <v>2020</v>
      </c>
      <c r="I34" s="408">
        <v>2021</v>
      </c>
      <c r="K34" s="462" t="s">
        <v>363</v>
      </c>
      <c r="L34" s="462" t="s">
        <v>364</v>
      </c>
    </row>
    <row r="35" spans="2:13" hidden="1" outlineLevel="1" x14ac:dyDescent="0.2">
      <c r="B35" s="413" t="s">
        <v>374</v>
      </c>
      <c r="C35" s="405" t="s">
        <v>338</v>
      </c>
      <c r="D35" s="476"/>
      <c r="E35" s="453">
        <v>173114.76168767121</v>
      </c>
      <c r="F35" s="460">
        <v>0</v>
      </c>
      <c r="G35" s="453">
        <v>0</v>
      </c>
      <c r="H35" s="453">
        <v>0</v>
      </c>
      <c r="I35" s="463">
        <v>0</v>
      </c>
      <c r="K35" s="464" t="s">
        <v>368</v>
      </c>
      <c r="L35" s="465" t="s">
        <v>375</v>
      </c>
      <c r="M35" s="477"/>
    </row>
    <row r="36" spans="2:13" hidden="1" outlineLevel="1" x14ac:dyDescent="0.2">
      <c r="B36" s="413" t="s">
        <v>376</v>
      </c>
      <c r="C36" s="405" t="s">
        <v>338</v>
      </c>
      <c r="D36" s="453"/>
      <c r="E36" s="453">
        <v>0</v>
      </c>
      <c r="F36" s="460">
        <v>0</v>
      </c>
      <c r="G36" s="453">
        <v>0</v>
      </c>
      <c r="H36" s="453">
        <v>0</v>
      </c>
      <c r="I36" s="463">
        <v>0</v>
      </c>
      <c r="K36" s="467" t="s">
        <v>366</v>
      </c>
      <c r="L36" s="468"/>
    </row>
    <row r="37" spans="2:13" hidden="1" outlineLevel="1" x14ac:dyDescent="0.2">
      <c r="B37" s="413" t="s">
        <v>377</v>
      </c>
      <c r="C37" s="405" t="s">
        <v>338</v>
      </c>
      <c r="D37" s="453"/>
      <c r="E37" s="453">
        <v>0</v>
      </c>
      <c r="F37" s="460">
        <v>0</v>
      </c>
      <c r="G37" s="453">
        <v>0</v>
      </c>
      <c r="H37" s="453">
        <v>0</v>
      </c>
      <c r="I37" s="463">
        <v>0</v>
      </c>
      <c r="K37" s="467" t="s">
        <v>366</v>
      </c>
      <c r="L37" s="468"/>
      <c r="M37" s="477"/>
    </row>
    <row r="38" spans="2:13" ht="13.5" hidden="1" outlineLevel="1" thickBot="1" x14ac:dyDescent="0.25">
      <c r="B38" s="469" t="s">
        <v>378</v>
      </c>
      <c r="C38" s="402" t="s">
        <v>338</v>
      </c>
      <c r="D38" s="470"/>
      <c r="E38" s="470">
        <v>0</v>
      </c>
      <c r="F38" s="471">
        <v>0</v>
      </c>
      <c r="G38" s="470">
        <v>0</v>
      </c>
      <c r="H38" s="470">
        <v>0</v>
      </c>
      <c r="I38" s="472">
        <v>0</v>
      </c>
      <c r="K38" s="473" t="s">
        <v>366</v>
      </c>
      <c r="L38" s="474"/>
      <c r="M38" s="477"/>
    </row>
    <row r="39" spans="2:13" hidden="1" outlineLevel="1" x14ac:dyDescent="0.2">
      <c r="C39" s="478"/>
      <c r="D39" s="479"/>
      <c r="E39" s="479"/>
      <c r="F39" s="479"/>
      <c r="G39" s="479"/>
      <c r="H39" s="479"/>
      <c r="I39" s="479"/>
    </row>
    <row r="40" spans="2:13" s="426" customFormat="1" outlineLevel="1" x14ac:dyDescent="0.2">
      <c r="B40" s="425" t="s">
        <v>379</v>
      </c>
    </row>
    <row r="41" spans="2:13" outlineLevel="1" x14ac:dyDescent="0.2">
      <c r="B41" s="428" t="s">
        <v>354</v>
      </c>
      <c r="J41" s="480"/>
      <c r="K41" s="480"/>
    </row>
    <row r="42" spans="2:13" ht="13.5" outlineLevel="1" thickBot="1" x14ac:dyDescent="0.25">
      <c r="B42" s="427"/>
      <c r="J42" s="480"/>
      <c r="K42" s="480"/>
    </row>
    <row r="43" spans="2:13" outlineLevel="1" x14ac:dyDescent="0.2">
      <c r="B43" s="461" t="s">
        <v>380</v>
      </c>
      <c r="C43" s="409" t="s">
        <v>17</v>
      </c>
      <c r="D43" s="409">
        <v>2016</v>
      </c>
      <c r="E43" s="409">
        <v>2017</v>
      </c>
      <c r="F43" s="409">
        <v>2018</v>
      </c>
      <c r="G43" s="409">
        <v>2019</v>
      </c>
      <c r="H43" s="409">
        <v>2020</v>
      </c>
      <c r="I43" s="408">
        <v>2021</v>
      </c>
      <c r="J43" s="480"/>
      <c r="K43" s="480"/>
    </row>
    <row r="44" spans="2:13" outlineLevel="1" x14ac:dyDescent="0.2">
      <c r="B44" s="413" t="s">
        <v>381</v>
      </c>
      <c r="C44" s="405" t="s">
        <v>338</v>
      </c>
      <c r="D44" s="449">
        <v>798705.00513052323</v>
      </c>
      <c r="E44" s="449">
        <v>798705.00513052323</v>
      </c>
      <c r="F44" s="481">
        <v>798705.00513052323</v>
      </c>
      <c r="G44" s="449">
        <v>798705.00513052323</v>
      </c>
      <c r="H44" s="449">
        <v>798705.00513052323</v>
      </c>
      <c r="I44" s="482">
        <v>798705.00513052323</v>
      </c>
      <c r="J44" s="483"/>
      <c r="K44" s="483"/>
    </row>
    <row r="45" spans="2:13" outlineLevel="1" x14ac:dyDescent="0.2">
      <c r="B45" s="413" t="s">
        <v>382</v>
      </c>
      <c r="C45" s="405" t="s">
        <v>338</v>
      </c>
      <c r="D45" s="449">
        <v>0</v>
      </c>
      <c r="E45" s="449">
        <v>345480.16800000001</v>
      </c>
      <c r="F45" s="481">
        <v>345480.16800000001</v>
      </c>
      <c r="G45" s="449">
        <v>345480.16800000001</v>
      </c>
      <c r="H45" s="449">
        <v>345480.16800000001</v>
      </c>
      <c r="I45" s="482">
        <v>345480.16800000001</v>
      </c>
      <c r="J45" s="483"/>
      <c r="K45" s="483"/>
    </row>
    <row r="46" spans="2:13" ht="13.5" outlineLevel="1" thickBot="1" x14ac:dyDescent="0.25">
      <c r="B46" s="455" t="s">
        <v>383</v>
      </c>
      <c r="C46" s="456" t="s">
        <v>338</v>
      </c>
      <c r="D46" s="470">
        <v>65601.620907903925</v>
      </c>
      <c r="E46" s="470">
        <v>69653.620907903925</v>
      </c>
      <c r="F46" s="471">
        <v>75980.620907903925</v>
      </c>
      <c r="G46" s="470">
        <v>78058.620907903925</v>
      </c>
      <c r="H46" s="470">
        <v>80907.620907903925</v>
      </c>
      <c r="I46" s="472">
        <v>80907.620907903925</v>
      </c>
      <c r="J46" s="483"/>
      <c r="K46" s="483"/>
    </row>
    <row r="47" spans="2:13" ht="13.5" outlineLevel="1" thickBot="1" x14ac:dyDescent="0.25">
      <c r="B47" s="447"/>
      <c r="C47" s="475"/>
      <c r="D47" s="481"/>
      <c r="E47" s="481"/>
      <c r="F47" s="481"/>
      <c r="G47" s="481"/>
      <c r="H47" s="481"/>
      <c r="I47" s="481"/>
      <c r="J47" s="483"/>
      <c r="K47" s="483"/>
    </row>
    <row r="48" spans="2:13" ht="13.5" hidden="1" outlineLevel="1" thickBot="1" x14ac:dyDescent="0.25">
      <c r="B48" s="461" t="s">
        <v>384</v>
      </c>
      <c r="C48" s="409"/>
      <c r="D48" s="409">
        <v>2016</v>
      </c>
      <c r="E48" s="409">
        <v>2017</v>
      </c>
      <c r="F48" s="409">
        <v>2018</v>
      </c>
      <c r="G48" s="409">
        <v>2019</v>
      </c>
      <c r="H48" s="409">
        <v>2020</v>
      </c>
      <c r="I48" s="408">
        <v>2021</v>
      </c>
      <c r="J48" s="483"/>
      <c r="K48" s="462" t="s">
        <v>363</v>
      </c>
      <c r="L48" s="462" t="s">
        <v>364</v>
      </c>
    </row>
    <row r="49" spans="2:13" ht="13.5" hidden="1" outlineLevel="1" thickBot="1" x14ac:dyDescent="0.25">
      <c r="B49" s="413" t="s">
        <v>385</v>
      </c>
      <c r="C49" s="405" t="s">
        <v>338</v>
      </c>
      <c r="D49" s="449"/>
      <c r="E49" s="449">
        <v>0</v>
      </c>
      <c r="F49" s="481">
        <v>0</v>
      </c>
      <c r="G49" s="449">
        <v>0</v>
      </c>
      <c r="H49" s="449">
        <v>0</v>
      </c>
      <c r="I49" s="482">
        <v>0</v>
      </c>
      <c r="J49" s="483"/>
      <c r="K49" s="464" t="s">
        <v>366</v>
      </c>
      <c r="L49" s="465" t="s">
        <v>386</v>
      </c>
    </row>
    <row r="50" spans="2:13" ht="13.5" hidden="1" outlineLevel="1" thickBot="1" x14ac:dyDescent="0.25">
      <c r="B50" s="413" t="s">
        <v>387</v>
      </c>
      <c r="C50" s="405" t="s">
        <v>338</v>
      </c>
      <c r="D50" s="449"/>
      <c r="E50" s="449">
        <v>0</v>
      </c>
      <c r="F50" s="481">
        <v>0</v>
      </c>
      <c r="G50" s="449">
        <v>0</v>
      </c>
      <c r="H50" s="449">
        <v>0</v>
      </c>
      <c r="I50" s="482">
        <v>0</v>
      </c>
      <c r="J50" s="483"/>
      <c r="K50" s="467" t="s">
        <v>366</v>
      </c>
      <c r="L50" s="468"/>
    </row>
    <row r="51" spans="2:13" ht="13.5" hidden="1" outlineLevel="1" thickBot="1" x14ac:dyDescent="0.25">
      <c r="B51" s="469" t="s">
        <v>388</v>
      </c>
      <c r="C51" s="402" t="s">
        <v>338</v>
      </c>
      <c r="D51" s="484"/>
      <c r="E51" s="484"/>
      <c r="F51" s="485"/>
      <c r="G51" s="484"/>
      <c r="H51" s="484"/>
      <c r="I51" s="486"/>
      <c r="J51" s="483"/>
      <c r="K51" s="473" t="s">
        <v>366</v>
      </c>
      <c r="L51" s="474"/>
    </row>
    <row r="52" spans="2:13" ht="13.5" hidden="1" outlineLevel="1" thickBot="1" x14ac:dyDescent="0.25">
      <c r="C52" s="475"/>
      <c r="D52" s="460"/>
      <c r="E52" s="460"/>
      <c r="F52" s="460"/>
      <c r="G52" s="460"/>
      <c r="H52" s="460"/>
      <c r="I52" s="460"/>
    </row>
    <row r="53" spans="2:13" outlineLevel="1" x14ac:dyDescent="0.2">
      <c r="B53" s="461" t="s">
        <v>72</v>
      </c>
      <c r="C53" s="409"/>
      <c r="D53" s="409">
        <v>2016</v>
      </c>
      <c r="E53" s="409">
        <v>2017</v>
      </c>
      <c r="F53" s="409">
        <v>2018</v>
      </c>
      <c r="G53" s="409">
        <v>2019</v>
      </c>
      <c r="H53" s="409">
        <v>2020</v>
      </c>
      <c r="I53" s="408">
        <v>2021</v>
      </c>
      <c r="J53" s="483"/>
      <c r="K53" s="483"/>
    </row>
    <row r="54" spans="2:13" outlineLevel="1" x14ac:dyDescent="0.2">
      <c r="B54" s="413" t="s">
        <v>389</v>
      </c>
      <c r="C54" s="405" t="s">
        <v>338</v>
      </c>
      <c r="D54" s="476"/>
      <c r="E54" s="453">
        <v>173114.76168767121</v>
      </c>
      <c r="F54" s="460">
        <v>0</v>
      </c>
      <c r="G54" s="453">
        <v>0</v>
      </c>
      <c r="H54" s="453">
        <v>0</v>
      </c>
      <c r="I54" s="463">
        <v>0</v>
      </c>
      <c r="J54" s="483"/>
      <c r="K54" s="483"/>
      <c r="M54" s="477"/>
    </row>
    <row r="55" spans="2:13" outlineLevel="1" x14ac:dyDescent="0.2">
      <c r="B55" s="413" t="s">
        <v>390</v>
      </c>
      <c r="C55" s="405" t="s">
        <v>338</v>
      </c>
      <c r="D55" s="449"/>
      <c r="E55" s="449">
        <v>0</v>
      </c>
      <c r="F55" s="481">
        <v>0</v>
      </c>
      <c r="G55" s="449">
        <v>0</v>
      </c>
      <c r="H55" s="449">
        <v>0</v>
      </c>
      <c r="I55" s="482">
        <v>0</v>
      </c>
      <c r="J55" s="483"/>
      <c r="K55" s="483"/>
      <c r="L55" s="483"/>
    </row>
    <row r="56" spans="2:13" outlineLevel="1" x14ac:dyDescent="0.2">
      <c r="B56" s="413" t="s">
        <v>391</v>
      </c>
      <c r="C56" s="405" t="s">
        <v>338</v>
      </c>
      <c r="D56" s="449"/>
      <c r="E56" s="449">
        <v>0</v>
      </c>
      <c r="F56" s="481">
        <v>0</v>
      </c>
      <c r="G56" s="449">
        <v>0</v>
      </c>
      <c r="H56" s="449">
        <v>0</v>
      </c>
      <c r="I56" s="482">
        <v>0</v>
      </c>
      <c r="J56" s="483"/>
      <c r="K56" s="483"/>
      <c r="L56" s="483"/>
      <c r="M56" s="477"/>
    </row>
    <row r="57" spans="2:13" ht="13.5" outlineLevel="1" thickBot="1" x14ac:dyDescent="0.25">
      <c r="B57" s="455" t="s">
        <v>392</v>
      </c>
      <c r="C57" s="456" t="s">
        <v>338</v>
      </c>
      <c r="D57" s="470"/>
      <c r="E57" s="470">
        <v>0</v>
      </c>
      <c r="F57" s="471">
        <v>0</v>
      </c>
      <c r="G57" s="470">
        <v>0</v>
      </c>
      <c r="H57" s="470">
        <v>0</v>
      </c>
      <c r="I57" s="472">
        <v>0</v>
      </c>
      <c r="J57" s="483"/>
      <c r="K57" s="483"/>
      <c r="L57" s="483"/>
      <c r="M57" s="477"/>
    </row>
    <row r="58" spans="2:13" outlineLevel="1" x14ac:dyDescent="0.2">
      <c r="B58" s="447"/>
      <c r="C58" s="447"/>
      <c r="D58" s="447"/>
      <c r="E58" s="447"/>
      <c r="F58" s="447"/>
      <c r="G58" s="447"/>
      <c r="H58" s="447"/>
      <c r="I58" s="447"/>
    </row>
    <row r="59" spans="2:13" s="426" customFormat="1" x14ac:dyDescent="0.2">
      <c r="B59" s="425" t="s">
        <v>393</v>
      </c>
    </row>
    <row r="60" spans="2:13" outlineLevel="1" x14ac:dyDescent="0.2">
      <c r="B60" s="428" t="s">
        <v>354</v>
      </c>
    </row>
    <row r="61" spans="2:13" ht="13.5" outlineLevel="1" thickBot="1" x14ac:dyDescent="0.25">
      <c r="B61" s="427"/>
    </row>
    <row r="62" spans="2:13" ht="13.5" outlineLevel="1" thickBot="1" x14ac:dyDescent="0.25">
      <c r="B62" s="411" t="s">
        <v>394</v>
      </c>
      <c r="C62" s="409"/>
      <c r="D62" s="409"/>
      <c r="E62" s="409">
        <v>2017</v>
      </c>
      <c r="F62" s="409">
        <v>2018</v>
      </c>
      <c r="G62" s="409">
        <v>2019</v>
      </c>
      <c r="H62" s="409">
        <v>2020</v>
      </c>
      <c r="I62" s="408">
        <v>2021</v>
      </c>
      <c r="K62" s="462" t="s">
        <v>363</v>
      </c>
      <c r="L62" s="462" t="s">
        <v>364</v>
      </c>
    </row>
    <row r="63" spans="2:13" outlineLevel="1" x14ac:dyDescent="0.2">
      <c r="B63" s="406" t="s">
        <v>340</v>
      </c>
      <c r="C63" s="405" t="s">
        <v>338</v>
      </c>
      <c r="D63" s="404"/>
      <c r="E63" s="449">
        <v>15768.353693288846</v>
      </c>
      <c r="F63" s="449">
        <v>15768.353693288846</v>
      </c>
      <c r="G63" s="449">
        <v>15768.353693288846</v>
      </c>
      <c r="H63" s="449">
        <v>15768.353693288846</v>
      </c>
      <c r="I63" s="450">
        <v>15768.353693288846</v>
      </c>
      <c r="K63" s="464" t="s">
        <v>366</v>
      </c>
      <c r="L63" s="465"/>
    </row>
    <row r="64" spans="2:13" outlineLevel="1" x14ac:dyDescent="0.2">
      <c r="B64" s="406" t="s">
        <v>339</v>
      </c>
      <c r="C64" s="405" t="s">
        <v>338</v>
      </c>
      <c r="D64" s="404"/>
      <c r="E64" s="449">
        <v>6315.6858739024701</v>
      </c>
      <c r="F64" s="449">
        <v>6315.6858739024701</v>
      </c>
      <c r="G64" s="449">
        <v>6315.6858739024701</v>
      </c>
      <c r="H64" s="449">
        <v>6315.6858739024701</v>
      </c>
      <c r="I64" s="450">
        <v>6315.6858739024701</v>
      </c>
      <c r="K64" s="467" t="s">
        <v>366</v>
      </c>
      <c r="L64" s="468"/>
    </row>
    <row r="65" spans="1:13" outlineLevel="1" x14ac:dyDescent="0.2">
      <c r="B65" s="406" t="s">
        <v>395</v>
      </c>
      <c r="C65" s="405" t="s">
        <v>338</v>
      </c>
      <c r="D65" s="404"/>
      <c r="E65" s="449">
        <v>15473.921689318706</v>
      </c>
      <c r="F65" s="449">
        <v>15473.921689318706</v>
      </c>
      <c r="G65" s="449">
        <v>15473.921689318706</v>
      </c>
      <c r="H65" s="449">
        <v>15473.921689318706</v>
      </c>
      <c r="I65" s="450">
        <v>15473.921689318706</v>
      </c>
      <c r="K65" s="467" t="s">
        <v>366</v>
      </c>
      <c r="L65" s="468"/>
    </row>
    <row r="66" spans="1:13" outlineLevel="1" x14ac:dyDescent="0.2">
      <c r="B66" s="406" t="s">
        <v>396</v>
      </c>
      <c r="C66" s="405" t="s">
        <v>338</v>
      </c>
      <c r="D66" s="404"/>
      <c r="E66" s="449">
        <v>15850.573371225031</v>
      </c>
      <c r="F66" s="449">
        <v>14649.797048133896</v>
      </c>
      <c r="G66" s="449">
        <v>13449.020725042763</v>
      </c>
      <c r="H66" s="449">
        <v>12248.244401951635</v>
      </c>
      <c r="I66" s="450">
        <v>11047.468078860502</v>
      </c>
      <c r="K66" s="467" t="s">
        <v>366</v>
      </c>
      <c r="L66" s="468"/>
    </row>
    <row r="67" spans="1:13" outlineLevel="2" x14ac:dyDescent="0.2">
      <c r="B67" s="406" t="s">
        <v>397</v>
      </c>
      <c r="C67" s="405" t="s">
        <v>338</v>
      </c>
      <c r="D67" s="404"/>
      <c r="E67" s="449">
        <v>0</v>
      </c>
      <c r="F67" s="449">
        <v>0</v>
      </c>
      <c r="G67" s="449">
        <v>0</v>
      </c>
      <c r="H67" s="449">
        <v>0</v>
      </c>
      <c r="I67" s="450">
        <v>0</v>
      </c>
      <c r="K67" s="467" t="s">
        <v>366</v>
      </c>
      <c r="L67" s="468"/>
    </row>
    <row r="68" spans="1:13" ht="13.5" outlineLevel="1" thickBot="1" x14ac:dyDescent="0.25">
      <c r="B68" s="487" t="s">
        <v>398</v>
      </c>
      <c r="C68" s="452" t="s">
        <v>338</v>
      </c>
      <c r="D68" s="488"/>
      <c r="E68" s="449">
        <v>15</v>
      </c>
      <c r="F68" s="449">
        <v>130</v>
      </c>
      <c r="G68" s="449">
        <v>130</v>
      </c>
      <c r="H68" s="449">
        <v>130</v>
      </c>
      <c r="I68" s="449">
        <v>15</v>
      </c>
      <c r="K68" s="473" t="s">
        <v>366</v>
      </c>
      <c r="L68" s="474" t="s">
        <v>399</v>
      </c>
    </row>
    <row r="69" spans="1:13" ht="13.5" outlineLevel="1" thickBot="1" x14ac:dyDescent="0.25">
      <c r="B69" s="489" t="s">
        <v>400</v>
      </c>
      <c r="C69" s="490"/>
      <c r="D69" s="490"/>
      <c r="E69" s="491">
        <v>53423.534627735047</v>
      </c>
      <c r="F69" s="491">
        <v>52337.75830464391</v>
      </c>
      <c r="G69" s="491">
        <v>51136.981981552781</v>
      </c>
      <c r="H69" s="491">
        <v>49936.205658461651</v>
      </c>
      <c r="I69" s="492">
        <v>48620.429335370522</v>
      </c>
      <c r="L69" s="483"/>
      <c r="M69" s="477"/>
    </row>
    <row r="70" spans="1:13" ht="13.5" thickBot="1" x14ac:dyDescent="0.25">
      <c r="A70" s="493"/>
      <c r="B70" s="494"/>
      <c r="C70" s="493"/>
      <c r="D70" s="493"/>
      <c r="E70" s="495"/>
      <c r="F70" s="495"/>
      <c r="G70" s="495"/>
      <c r="H70" s="495"/>
      <c r="I70" s="495"/>
      <c r="L70" s="483"/>
    </row>
    <row r="71" spans="1:13" x14ac:dyDescent="0.2">
      <c r="B71" s="411" t="s">
        <v>401</v>
      </c>
      <c r="C71" s="409"/>
      <c r="D71" s="409"/>
      <c r="E71" s="409">
        <v>2017</v>
      </c>
      <c r="F71" s="409">
        <v>2018</v>
      </c>
      <c r="G71" s="409">
        <v>2019</v>
      </c>
      <c r="H71" s="409">
        <v>2020</v>
      </c>
      <c r="I71" s="408">
        <v>2021</v>
      </c>
      <c r="L71" s="483"/>
    </row>
    <row r="72" spans="1:13" x14ac:dyDescent="0.2">
      <c r="B72" s="406" t="s">
        <v>340</v>
      </c>
      <c r="C72" s="405" t="s">
        <v>338</v>
      </c>
      <c r="D72" s="404"/>
      <c r="E72" s="449">
        <v>3417.7008711426806</v>
      </c>
      <c r="F72" s="449">
        <v>6820.6076687232016</v>
      </c>
      <c r="G72" s="449">
        <v>6820.6076687232016</v>
      </c>
      <c r="H72" s="449">
        <v>6820.6076687232016</v>
      </c>
      <c r="I72" s="450">
        <v>6820.6076687232016</v>
      </c>
      <c r="L72" s="483"/>
    </row>
    <row r="73" spans="1:13" x14ac:dyDescent="0.2">
      <c r="B73" s="406" t="s">
        <v>339</v>
      </c>
      <c r="C73" s="405" t="s">
        <v>338</v>
      </c>
      <c r="D73" s="404"/>
      <c r="E73" s="449">
        <v>1368.8889489006592</v>
      </c>
      <c r="F73" s="449">
        <v>2731.8524395555551</v>
      </c>
      <c r="G73" s="449">
        <v>2731.8524395555551</v>
      </c>
      <c r="H73" s="449">
        <v>2731.8524395555551</v>
      </c>
      <c r="I73" s="450">
        <v>2731.8524395555551</v>
      </c>
      <c r="L73" s="483"/>
    </row>
    <row r="74" spans="1:13" x14ac:dyDescent="0.2">
      <c r="B74" s="406" t="s">
        <v>395</v>
      </c>
      <c r="C74" s="405" t="s">
        <v>338</v>
      </c>
      <c r="D74" s="404"/>
      <c r="E74" s="449">
        <v>6030.9891296280402</v>
      </c>
      <c r="F74" s="449">
        <v>12035.872142834463</v>
      </c>
      <c r="G74" s="449">
        <v>12035.872142834463</v>
      </c>
      <c r="H74" s="449">
        <v>12035.872142834463</v>
      </c>
      <c r="I74" s="450">
        <v>12035.872142834463</v>
      </c>
      <c r="L74" s="483"/>
    </row>
    <row r="75" spans="1:13" x14ac:dyDescent="0.2">
      <c r="B75" s="406" t="s">
        <v>396</v>
      </c>
      <c r="C75" s="405" t="s">
        <v>338</v>
      </c>
      <c r="D75" s="404"/>
      <c r="E75" s="449">
        <v>13433.705506963286</v>
      </c>
      <c r="F75" s="449">
        <v>26341.256280340865</v>
      </c>
      <c r="G75" s="449">
        <v>25407.27260205691</v>
      </c>
      <c r="H75" s="449">
        <v>24473.288923772951</v>
      </c>
      <c r="I75" s="450">
        <v>23539.305245488995</v>
      </c>
      <c r="L75" s="483"/>
    </row>
    <row r="76" spans="1:13" x14ac:dyDescent="0.2">
      <c r="B76" s="406" t="s">
        <v>402</v>
      </c>
      <c r="C76" s="405" t="s">
        <v>338</v>
      </c>
      <c r="D76" s="404"/>
      <c r="E76" s="496">
        <v>0</v>
      </c>
      <c r="F76" s="496">
        <v>16000</v>
      </c>
      <c r="G76" s="496">
        <v>16000</v>
      </c>
      <c r="H76" s="496">
        <v>16000</v>
      </c>
      <c r="I76" s="450">
        <v>0</v>
      </c>
      <c r="L76" s="483"/>
    </row>
    <row r="77" spans="1:13" ht="13.5" thickBot="1" x14ac:dyDescent="0.25">
      <c r="B77" s="403" t="s">
        <v>398</v>
      </c>
      <c r="C77" s="402" t="s">
        <v>338</v>
      </c>
      <c r="D77" s="412"/>
      <c r="E77" s="412"/>
      <c r="F77" s="412"/>
      <c r="G77" s="412"/>
      <c r="H77" s="412"/>
      <c r="I77" s="497"/>
      <c r="L77" s="483"/>
    </row>
    <row r="78" spans="1:13" ht="13.5" thickBot="1" x14ac:dyDescent="0.25">
      <c r="B78" s="489" t="s">
        <v>400</v>
      </c>
      <c r="C78" s="490"/>
      <c r="D78" s="490"/>
      <c r="E78" s="491">
        <v>24251.284456634668</v>
      </c>
      <c r="F78" s="491">
        <v>63929.588531454086</v>
      </c>
      <c r="G78" s="491">
        <v>62995.604853170131</v>
      </c>
      <c r="H78" s="491">
        <v>62061.621174886168</v>
      </c>
      <c r="I78" s="492">
        <v>45127.637496602212</v>
      </c>
      <c r="M78" s="477"/>
    </row>
    <row r="79" spans="1:13" ht="13.5" thickBot="1" x14ac:dyDescent="0.25">
      <c r="A79" s="493"/>
      <c r="B79" s="494"/>
      <c r="C79" s="493"/>
      <c r="D79" s="493"/>
      <c r="E79" s="495"/>
      <c r="F79" s="495"/>
      <c r="G79" s="495"/>
      <c r="H79" s="495"/>
      <c r="I79" s="495"/>
    </row>
    <row r="80" spans="1:13" ht="13.5" hidden="1" thickBot="1" x14ac:dyDescent="0.25">
      <c r="B80" s="411" t="s">
        <v>403</v>
      </c>
      <c r="C80" s="409"/>
      <c r="D80" s="409"/>
      <c r="E80" s="409" t="s">
        <v>448</v>
      </c>
      <c r="F80" s="409" t="s">
        <v>449</v>
      </c>
      <c r="G80" s="409" t="s">
        <v>450</v>
      </c>
      <c r="H80" s="409" t="s">
        <v>451</v>
      </c>
      <c r="I80" s="498" t="s">
        <v>404</v>
      </c>
    </row>
    <row r="81" spans="1:12" ht="13.5" hidden="1" thickBot="1" x14ac:dyDescent="0.25">
      <c r="B81" s="406" t="s">
        <v>405</v>
      </c>
      <c r="C81" s="405" t="s">
        <v>338</v>
      </c>
      <c r="D81" s="404"/>
      <c r="E81" s="449">
        <v>0</v>
      </c>
      <c r="F81" s="449">
        <v>0</v>
      </c>
      <c r="G81" s="449">
        <v>0</v>
      </c>
      <c r="H81" s="449">
        <v>0</v>
      </c>
      <c r="I81" s="450">
        <v>0</v>
      </c>
      <c r="L81" s="483"/>
    </row>
    <row r="82" spans="1:12" ht="13.5" hidden="1" thickBot="1" x14ac:dyDescent="0.25">
      <c r="B82" s="406" t="s">
        <v>406</v>
      </c>
      <c r="C82" s="405" t="s">
        <v>338</v>
      </c>
      <c r="D82" s="404"/>
      <c r="E82" s="449">
        <v>0</v>
      </c>
      <c r="F82" s="449">
        <v>0</v>
      </c>
      <c r="G82" s="449">
        <v>0</v>
      </c>
      <c r="H82" s="449">
        <v>0</v>
      </c>
      <c r="I82" s="450">
        <v>0</v>
      </c>
      <c r="L82" s="483"/>
    </row>
    <row r="83" spans="1:12" ht="13.5" hidden="1" thickBot="1" x14ac:dyDescent="0.25">
      <c r="B83" s="406" t="s">
        <v>407</v>
      </c>
      <c r="C83" s="405" t="s">
        <v>338</v>
      </c>
      <c r="D83" s="404"/>
      <c r="E83" s="449">
        <v>0</v>
      </c>
      <c r="F83" s="449">
        <v>0</v>
      </c>
      <c r="G83" s="449">
        <v>0</v>
      </c>
      <c r="H83" s="449">
        <v>0</v>
      </c>
      <c r="I83" s="450">
        <v>0</v>
      </c>
      <c r="L83" s="483"/>
    </row>
    <row r="84" spans="1:12" ht="13.5" hidden="1" thickBot="1" x14ac:dyDescent="0.25">
      <c r="B84" s="406" t="s">
        <v>408</v>
      </c>
      <c r="C84" s="405" t="s">
        <v>338</v>
      </c>
      <c r="D84" s="404"/>
      <c r="E84" s="449">
        <v>0</v>
      </c>
      <c r="F84" s="449">
        <v>0</v>
      </c>
      <c r="G84" s="449">
        <v>0</v>
      </c>
      <c r="H84" s="449">
        <v>0</v>
      </c>
      <c r="I84" s="450">
        <v>0</v>
      </c>
      <c r="L84" s="483"/>
    </row>
    <row r="85" spans="1:12" ht="13.5" hidden="1" thickBot="1" x14ac:dyDescent="0.25">
      <c r="B85" s="406" t="s">
        <v>395</v>
      </c>
      <c r="C85" s="405" t="s">
        <v>338</v>
      </c>
      <c r="D85" s="404"/>
      <c r="E85" s="449">
        <v>0</v>
      </c>
      <c r="F85" s="449">
        <v>0</v>
      </c>
      <c r="G85" s="449">
        <v>0</v>
      </c>
      <c r="H85" s="449">
        <v>0</v>
      </c>
      <c r="I85" s="450">
        <v>0</v>
      </c>
      <c r="L85" s="483"/>
    </row>
    <row r="86" spans="1:12" ht="13.5" hidden="1" thickBot="1" x14ac:dyDescent="0.25">
      <c r="B86" s="406" t="s">
        <v>409</v>
      </c>
      <c r="C86" s="405" t="s">
        <v>338</v>
      </c>
      <c r="D86" s="404"/>
      <c r="E86" s="449">
        <v>0</v>
      </c>
      <c r="F86" s="449">
        <v>0</v>
      </c>
      <c r="G86" s="449">
        <v>0</v>
      </c>
      <c r="H86" s="449">
        <v>0</v>
      </c>
      <c r="I86" s="450">
        <v>0</v>
      </c>
      <c r="L86" s="483"/>
    </row>
    <row r="87" spans="1:12" ht="13.5" hidden="1" thickBot="1" x14ac:dyDescent="0.25">
      <c r="B87" s="406" t="s">
        <v>396</v>
      </c>
      <c r="C87" s="405" t="s">
        <v>338</v>
      </c>
      <c r="D87" s="404"/>
      <c r="E87" s="449">
        <v>0</v>
      </c>
      <c r="F87" s="449">
        <v>0</v>
      </c>
      <c r="G87" s="449">
        <v>0</v>
      </c>
      <c r="H87" s="449">
        <v>0</v>
      </c>
      <c r="I87" s="450">
        <v>0</v>
      </c>
      <c r="L87" s="483"/>
    </row>
    <row r="88" spans="1:12" ht="13.5" hidden="1" thickBot="1" x14ac:dyDescent="0.25">
      <c r="B88" s="406" t="s">
        <v>410</v>
      </c>
      <c r="C88" s="405" t="s">
        <v>338</v>
      </c>
      <c r="D88" s="404"/>
      <c r="E88" s="449">
        <v>0</v>
      </c>
      <c r="F88" s="449">
        <v>0</v>
      </c>
      <c r="G88" s="449">
        <v>0</v>
      </c>
      <c r="H88" s="449">
        <v>0</v>
      </c>
      <c r="I88" s="450">
        <v>0</v>
      </c>
      <c r="L88" s="483"/>
    </row>
    <row r="89" spans="1:12" ht="13.5" hidden="1" thickBot="1" x14ac:dyDescent="0.25">
      <c r="B89" s="406" t="s">
        <v>397</v>
      </c>
      <c r="C89" s="405" t="s">
        <v>338</v>
      </c>
      <c r="D89" s="404"/>
      <c r="E89" s="499"/>
      <c r="F89" s="499"/>
      <c r="G89" s="499"/>
      <c r="H89" s="404"/>
      <c r="I89" s="500"/>
    </row>
    <row r="90" spans="1:12" ht="13.5" hidden="1" thickBot="1" x14ac:dyDescent="0.25">
      <c r="B90" s="403" t="s">
        <v>398</v>
      </c>
      <c r="C90" s="402" t="s">
        <v>338</v>
      </c>
      <c r="D90" s="412"/>
      <c r="E90" s="412"/>
      <c r="F90" s="412"/>
      <c r="G90" s="412"/>
      <c r="H90" s="412"/>
      <c r="I90" s="497"/>
    </row>
    <row r="91" spans="1:12" ht="13.5" hidden="1" thickBot="1" x14ac:dyDescent="0.25">
      <c r="B91" s="489" t="s">
        <v>400</v>
      </c>
      <c r="C91" s="490"/>
      <c r="D91" s="490"/>
      <c r="E91" s="491">
        <v>0</v>
      </c>
      <c r="F91" s="491">
        <v>0</v>
      </c>
      <c r="G91" s="491">
        <v>0</v>
      </c>
      <c r="H91" s="491">
        <v>0</v>
      </c>
      <c r="I91" s="492">
        <v>0</v>
      </c>
    </row>
    <row r="92" spans="1:12" ht="13.5" hidden="1" thickBot="1" x14ac:dyDescent="0.25">
      <c r="A92" s="493"/>
      <c r="B92" s="494"/>
      <c r="C92" s="493"/>
      <c r="D92" s="493"/>
      <c r="E92" s="495"/>
      <c r="F92" s="495"/>
      <c r="G92" s="495"/>
      <c r="H92" s="495"/>
      <c r="I92" s="495"/>
    </row>
    <row r="93" spans="1:12" ht="13.5" hidden="1" thickBot="1" x14ac:dyDescent="0.25">
      <c r="B93" s="411" t="s">
        <v>411</v>
      </c>
      <c r="C93" s="409"/>
      <c r="D93" s="409"/>
      <c r="E93" s="409" t="s">
        <v>448</v>
      </c>
      <c r="F93" s="409" t="s">
        <v>449</v>
      </c>
      <c r="G93" s="409" t="s">
        <v>450</v>
      </c>
      <c r="H93" s="409" t="s">
        <v>451</v>
      </c>
      <c r="I93" s="498" t="s">
        <v>404</v>
      </c>
    </row>
    <row r="94" spans="1:12" ht="13.5" hidden="1" thickBot="1" x14ac:dyDescent="0.25">
      <c r="B94" s="406" t="s">
        <v>412</v>
      </c>
      <c r="C94" s="405" t="s">
        <v>338</v>
      </c>
      <c r="D94" s="404"/>
      <c r="E94" s="449">
        <v>0</v>
      </c>
      <c r="F94" s="449">
        <v>0</v>
      </c>
      <c r="G94" s="449">
        <v>0</v>
      </c>
      <c r="H94" s="449">
        <v>0</v>
      </c>
      <c r="I94" s="450">
        <v>0</v>
      </c>
      <c r="L94" s="483"/>
    </row>
    <row r="95" spans="1:12" ht="13.5" hidden="1" thickBot="1" x14ac:dyDescent="0.25">
      <c r="B95" s="406" t="s">
        <v>413</v>
      </c>
      <c r="C95" s="405" t="s">
        <v>338</v>
      </c>
      <c r="D95" s="404"/>
      <c r="E95" s="449">
        <v>0</v>
      </c>
      <c r="F95" s="449">
        <v>0</v>
      </c>
      <c r="G95" s="449">
        <v>0</v>
      </c>
      <c r="H95" s="449">
        <v>0</v>
      </c>
      <c r="I95" s="450">
        <v>0</v>
      </c>
      <c r="L95" s="483"/>
    </row>
    <row r="96" spans="1:12" ht="13.5" hidden="1" thickBot="1" x14ac:dyDescent="0.25">
      <c r="B96" s="406" t="s">
        <v>414</v>
      </c>
      <c r="C96" s="405" t="s">
        <v>338</v>
      </c>
      <c r="D96" s="404"/>
      <c r="E96" s="449">
        <v>0</v>
      </c>
      <c r="F96" s="449">
        <v>0</v>
      </c>
      <c r="G96" s="449">
        <v>0</v>
      </c>
      <c r="H96" s="449">
        <v>0</v>
      </c>
      <c r="I96" s="450">
        <v>0</v>
      </c>
      <c r="L96" s="483"/>
    </row>
    <row r="97" spans="1:13" ht="13.5" hidden="1" thickBot="1" x14ac:dyDescent="0.25">
      <c r="B97" s="406" t="s">
        <v>415</v>
      </c>
      <c r="C97" s="405" t="s">
        <v>338</v>
      </c>
      <c r="D97" s="404"/>
      <c r="E97" s="449">
        <v>0</v>
      </c>
      <c r="F97" s="449">
        <v>0</v>
      </c>
      <c r="G97" s="449">
        <v>0</v>
      </c>
      <c r="H97" s="449">
        <v>0</v>
      </c>
      <c r="I97" s="450">
        <v>0</v>
      </c>
      <c r="L97" s="483"/>
    </row>
    <row r="98" spans="1:13" ht="13.5" hidden="1" thickBot="1" x14ac:dyDescent="0.25">
      <c r="B98" s="406" t="s">
        <v>395</v>
      </c>
      <c r="C98" s="405" t="s">
        <v>338</v>
      </c>
      <c r="D98" s="404"/>
      <c r="E98" s="449">
        <v>0</v>
      </c>
      <c r="F98" s="449">
        <v>0</v>
      </c>
      <c r="G98" s="449">
        <v>0</v>
      </c>
      <c r="H98" s="449">
        <v>0</v>
      </c>
      <c r="I98" s="450">
        <v>0</v>
      </c>
      <c r="L98" s="483"/>
    </row>
    <row r="99" spans="1:13" ht="13.5" hidden="1" thickBot="1" x14ac:dyDescent="0.25">
      <c r="B99" s="406" t="s">
        <v>416</v>
      </c>
      <c r="C99" s="405" t="s">
        <v>338</v>
      </c>
      <c r="D99" s="404"/>
      <c r="E99" s="449">
        <v>0</v>
      </c>
      <c r="F99" s="449">
        <v>0</v>
      </c>
      <c r="G99" s="449">
        <v>0</v>
      </c>
      <c r="H99" s="449">
        <v>0</v>
      </c>
      <c r="I99" s="450">
        <v>0</v>
      </c>
      <c r="L99" s="483"/>
    </row>
    <row r="100" spans="1:13" ht="13.5" hidden="1" thickBot="1" x14ac:dyDescent="0.25">
      <c r="B100" s="406" t="s">
        <v>396</v>
      </c>
      <c r="C100" s="405" t="s">
        <v>338</v>
      </c>
      <c r="D100" s="404"/>
      <c r="E100" s="449">
        <v>0</v>
      </c>
      <c r="F100" s="449">
        <v>0</v>
      </c>
      <c r="G100" s="449">
        <v>0</v>
      </c>
      <c r="H100" s="449">
        <v>0</v>
      </c>
      <c r="I100" s="450">
        <v>0</v>
      </c>
      <c r="L100" s="483"/>
    </row>
    <row r="101" spans="1:13" ht="13.5" hidden="1" thickBot="1" x14ac:dyDescent="0.25">
      <c r="B101" s="406" t="s">
        <v>417</v>
      </c>
      <c r="C101" s="405" t="s">
        <v>338</v>
      </c>
      <c r="D101" s="404"/>
      <c r="E101" s="449">
        <v>0</v>
      </c>
      <c r="F101" s="449">
        <v>0</v>
      </c>
      <c r="G101" s="449">
        <v>0</v>
      </c>
      <c r="H101" s="449">
        <v>0</v>
      </c>
      <c r="I101" s="450">
        <v>0</v>
      </c>
      <c r="L101" s="483"/>
    </row>
    <row r="102" spans="1:13" ht="13.5" hidden="1" thickBot="1" x14ac:dyDescent="0.25">
      <c r="B102" s="406" t="s">
        <v>397</v>
      </c>
      <c r="C102" s="405" t="s">
        <v>338</v>
      </c>
      <c r="D102" s="404"/>
      <c r="E102" s="404"/>
      <c r="F102" s="404"/>
      <c r="G102" s="404"/>
      <c r="H102" s="404"/>
      <c r="I102" s="500"/>
    </row>
    <row r="103" spans="1:13" ht="13.5" hidden="1" thickBot="1" x14ac:dyDescent="0.25">
      <c r="B103" s="403" t="s">
        <v>398</v>
      </c>
      <c r="C103" s="402" t="s">
        <v>338</v>
      </c>
      <c r="D103" s="412"/>
      <c r="E103" s="412"/>
      <c r="F103" s="412"/>
      <c r="G103" s="412"/>
      <c r="H103" s="412"/>
      <c r="I103" s="497"/>
    </row>
    <row r="104" spans="1:13" ht="13.5" hidden="1" thickBot="1" x14ac:dyDescent="0.25">
      <c r="B104" s="489" t="s">
        <v>400</v>
      </c>
      <c r="C104" s="490"/>
      <c r="D104" s="490"/>
      <c r="E104" s="491">
        <v>0</v>
      </c>
      <c r="F104" s="491">
        <v>0</v>
      </c>
      <c r="G104" s="491">
        <v>0</v>
      </c>
      <c r="H104" s="491">
        <v>0</v>
      </c>
      <c r="I104" s="492">
        <v>0</v>
      </c>
    </row>
    <row r="105" spans="1:13" ht="13.5" hidden="1" thickBot="1" x14ac:dyDescent="0.25">
      <c r="A105" s="493"/>
      <c r="B105" s="494"/>
      <c r="C105" s="493"/>
      <c r="D105" s="493"/>
      <c r="E105" s="495"/>
      <c r="F105" s="495"/>
      <c r="G105" s="495"/>
      <c r="H105" s="495"/>
      <c r="I105" s="495"/>
    </row>
    <row r="106" spans="1:13" x14ac:dyDescent="0.2">
      <c r="B106" s="411" t="s">
        <v>341</v>
      </c>
      <c r="C106" s="409"/>
      <c r="D106" s="409"/>
      <c r="E106" s="409">
        <v>2017</v>
      </c>
      <c r="F106" s="409">
        <v>2018</v>
      </c>
      <c r="G106" s="409">
        <v>2019</v>
      </c>
      <c r="H106" s="409">
        <v>2020</v>
      </c>
      <c r="I106" s="408">
        <v>2021</v>
      </c>
    </row>
    <row r="107" spans="1:13" ht="21" x14ac:dyDescent="0.35">
      <c r="B107" s="406" t="s">
        <v>340</v>
      </c>
      <c r="C107" s="405" t="s">
        <v>338</v>
      </c>
      <c r="D107" s="404"/>
      <c r="E107" s="665">
        <v>1295.1334406122028</v>
      </c>
      <c r="F107" s="665">
        <v>1375.1296454122028</v>
      </c>
      <c r="G107" s="665">
        <v>1500.0398102122028</v>
      </c>
      <c r="H107" s="665">
        <v>1541.0645174122028</v>
      </c>
      <c r="I107" s="666">
        <v>1597.3106150122028</v>
      </c>
      <c r="M107" s="477"/>
    </row>
    <row r="108" spans="1:13" ht="21" x14ac:dyDescent="0.35">
      <c r="B108" s="406" t="s">
        <v>339</v>
      </c>
      <c r="C108" s="405" t="s">
        <v>338</v>
      </c>
      <c r="D108" s="404"/>
      <c r="E108" s="665">
        <v>518.73874310509211</v>
      </c>
      <c r="F108" s="665">
        <v>550.77955791990689</v>
      </c>
      <c r="G108" s="665">
        <v>600.80972458657357</v>
      </c>
      <c r="H108" s="665">
        <v>617.24131717916612</v>
      </c>
      <c r="I108" s="666">
        <v>639.76952088286987</v>
      </c>
    </row>
    <row r="109" spans="1:13" x14ac:dyDescent="0.2">
      <c r="B109" s="406" t="s">
        <v>395</v>
      </c>
      <c r="C109" s="405" t="s">
        <v>338</v>
      </c>
      <c r="D109" s="404"/>
      <c r="E109" s="449">
        <v>834.43145843643106</v>
      </c>
      <c r="F109" s="449">
        <v>1029.6983762446503</v>
      </c>
      <c r="G109" s="449">
        <v>1151.3209789843761</v>
      </c>
      <c r="H109" s="449">
        <v>1200.365855696705</v>
      </c>
      <c r="I109" s="450">
        <v>1274.9472118610884</v>
      </c>
    </row>
    <row r="110" spans="1:13" ht="13.5" thickBot="1" x14ac:dyDescent="0.25">
      <c r="B110" s="403" t="s">
        <v>396</v>
      </c>
      <c r="C110" s="402" t="s">
        <v>338</v>
      </c>
      <c r="D110" s="412"/>
      <c r="E110" s="484">
        <v>1145.9051144360001</v>
      </c>
      <c r="F110" s="484">
        <v>1395.5884332613332</v>
      </c>
      <c r="G110" s="484">
        <v>1806.6590392647479</v>
      </c>
      <c r="H110" s="484">
        <v>1878.5693312955605</v>
      </c>
      <c r="I110" s="501">
        <v>2006.503340893496</v>
      </c>
    </row>
    <row r="111" spans="1:13" ht="13.5" thickBot="1" x14ac:dyDescent="0.25">
      <c r="B111" s="489" t="s">
        <v>400</v>
      </c>
      <c r="C111" s="490"/>
      <c r="D111" s="490"/>
      <c r="E111" s="491">
        <v>3794.2087565897259</v>
      </c>
      <c r="F111" s="491">
        <v>4351.1960128380933</v>
      </c>
      <c r="G111" s="491">
        <v>5058.8295530478999</v>
      </c>
      <c r="H111" s="491">
        <v>5237.2410215836335</v>
      </c>
      <c r="I111" s="492">
        <v>5518.5306886496564</v>
      </c>
    </row>
    <row r="112" spans="1:13" ht="13.5" thickBot="1" x14ac:dyDescent="0.25">
      <c r="B112" s="494"/>
      <c r="C112" s="493"/>
      <c r="D112" s="493"/>
      <c r="E112" s="495"/>
      <c r="F112" s="495"/>
      <c r="G112" s="495"/>
      <c r="H112" s="495"/>
      <c r="I112" s="495"/>
    </row>
    <row r="113" spans="2:16" x14ac:dyDescent="0.2">
      <c r="B113" s="411" t="s">
        <v>418</v>
      </c>
      <c r="C113" s="409"/>
      <c r="D113" s="409"/>
      <c r="E113" s="409">
        <v>2017</v>
      </c>
      <c r="F113" s="409">
        <v>2018</v>
      </c>
      <c r="G113" s="409">
        <v>2019</v>
      </c>
      <c r="H113" s="409">
        <v>2020</v>
      </c>
      <c r="I113" s="408">
        <v>2021</v>
      </c>
    </row>
    <row r="114" spans="2:16" x14ac:dyDescent="0.2">
      <c r="B114" s="406" t="s">
        <v>419</v>
      </c>
      <c r="C114" s="405" t="s">
        <v>338</v>
      </c>
      <c r="D114" s="404"/>
      <c r="E114" s="453">
        <v>3968.2589607008567</v>
      </c>
      <c r="F114" s="453">
        <v>4611.2581096897229</v>
      </c>
      <c r="G114" s="453">
        <v>5837.3934028983376</v>
      </c>
      <c r="H114" s="453">
        <v>4637.0328355575821</v>
      </c>
      <c r="I114" s="454">
        <v>4111.0328355575812</v>
      </c>
      <c r="P114" s="495"/>
    </row>
    <row r="115" spans="2:16" x14ac:dyDescent="0.2">
      <c r="B115" s="406" t="s">
        <v>420</v>
      </c>
      <c r="C115" s="405" t="s">
        <v>338</v>
      </c>
      <c r="D115" s="404"/>
      <c r="E115" s="453">
        <v>3222.9667539023421</v>
      </c>
      <c r="F115" s="453">
        <v>3405.3667539023422</v>
      </c>
      <c r="G115" s="453">
        <v>2347.3667539023422</v>
      </c>
      <c r="H115" s="453">
        <v>1573.366753902342</v>
      </c>
      <c r="I115" s="454">
        <v>2173.3667539023422</v>
      </c>
      <c r="L115" s="477"/>
    </row>
    <row r="116" spans="2:16" ht="13.5" thickBot="1" x14ac:dyDescent="0.25">
      <c r="B116" s="489" t="s">
        <v>400</v>
      </c>
      <c r="C116" s="490"/>
      <c r="D116" s="490"/>
      <c r="E116" s="491">
        <v>7191.2257146031989</v>
      </c>
      <c r="F116" s="491">
        <v>8016.6248635920656</v>
      </c>
      <c r="G116" s="491">
        <v>8184.7601568006794</v>
      </c>
      <c r="H116" s="491">
        <v>6210.3995894599238</v>
      </c>
      <c r="I116" s="492">
        <v>6284.3995894599229</v>
      </c>
    </row>
    <row r="117" spans="2:16" ht="13.5" thickBot="1" x14ac:dyDescent="0.25">
      <c r="B117" s="494"/>
      <c r="C117" s="493"/>
      <c r="D117" s="493"/>
      <c r="E117" s="495"/>
      <c r="F117" s="495"/>
      <c r="G117" s="495"/>
      <c r="H117" s="495"/>
      <c r="I117" s="495"/>
    </row>
    <row r="118" spans="2:16" x14ac:dyDescent="0.2">
      <c r="B118" s="411" t="s">
        <v>421</v>
      </c>
      <c r="C118" s="502"/>
      <c r="D118" s="409" t="s">
        <v>422</v>
      </c>
      <c r="E118" s="409" t="s">
        <v>448</v>
      </c>
      <c r="F118" s="409" t="s">
        <v>449</v>
      </c>
      <c r="G118" s="409" t="s">
        <v>450</v>
      </c>
      <c r="H118" s="408" t="s">
        <v>451</v>
      </c>
      <c r="I118" s="495"/>
    </row>
    <row r="119" spans="2:16" x14ac:dyDescent="0.2">
      <c r="B119" s="503" t="s">
        <v>423</v>
      </c>
      <c r="C119" s="504" t="s">
        <v>338</v>
      </c>
      <c r="D119" s="505">
        <v>170557.88357331316</v>
      </c>
      <c r="E119" s="505">
        <v>52880.646466189479</v>
      </c>
      <c r="F119" s="505">
        <v>51737.370143098349</v>
      </c>
      <c r="G119" s="505">
        <v>50536.593820007212</v>
      </c>
      <c r="H119" s="506">
        <v>49278.31749691609</v>
      </c>
      <c r="I119" s="495"/>
    </row>
    <row r="120" spans="2:16" x14ac:dyDescent="0.2">
      <c r="B120" s="503" t="s">
        <v>424</v>
      </c>
      <c r="C120" s="504" t="s">
        <v>338</v>
      </c>
      <c r="D120" s="505">
        <v>185282.36754163794</v>
      </c>
      <c r="E120" s="505">
        <v>44090.436494044377</v>
      </c>
      <c r="F120" s="505">
        <v>63462.596692312109</v>
      </c>
      <c r="G120" s="505">
        <v>62528.613014028146</v>
      </c>
      <c r="H120" s="506">
        <v>53594.62933574419</v>
      </c>
      <c r="I120" s="495"/>
    </row>
    <row r="121" spans="2:16" x14ac:dyDescent="0.2">
      <c r="B121" s="507" t="s">
        <v>425</v>
      </c>
      <c r="C121" s="508" t="s">
        <v>338</v>
      </c>
      <c r="D121" s="509">
        <v>170557.88357331316</v>
      </c>
      <c r="E121" s="509">
        <v>51220.151770625169</v>
      </c>
      <c r="F121" s="509">
        <v>51220.151770625169</v>
      </c>
      <c r="G121" s="509">
        <v>51220.151770625169</v>
      </c>
      <c r="H121" s="510">
        <v>51220.151770625169</v>
      </c>
      <c r="I121" s="495"/>
    </row>
    <row r="122" spans="2:16" ht="13.5" thickBot="1" x14ac:dyDescent="0.25">
      <c r="B122" s="511" t="s">
        <v>426</v>
      </c>
      <c r="C122" s="512" t="s">
        <v>338</v>
      </c>
      <c r="D122" s="513">
        <v>185282.367541638</v>
      </c>
      <c r="E122" s="513">
        <v>55642.054105485877</v>
      </c>
      <c r="F122" s="513">
        <v>55642.054105485877</v>
      </c>
      <c r="G122" s="513">
        <v>55642.054105485877</v>
      </c>
      <c r="H122" s="514">
        <v>55642.054105485877</v>
      </c>
      <c r="I122" s="495"/>
    </row>
    <row r="123" spans="2:16" ht="13.5" thickBot="1" x14ac:dyDescent="0.25">
      <c r="B123" s="494"/>
      <c r="C123" s="493"/>
      <c r="D123" s="495"/>
      <c r="E123" s="495"/>
      <c r="F123" s="495"/>
      <c r="G123" s="495"/>
      <c r="H123" s="495"/>
      <c r="I123" s="495"/>
    </row>
    <row r="124" spans="2:16" x14ac:dyDescent="0.2">
      <c r="B124" s="411" t="s">
        <v>427</v>
      </c>
      <c r="C124" s="409"/>
      <c r="D124" s="409"/>
      <c r="E124" s="409" t="s">
        <v>448</v>
      </c>
      <c r="F124" s="409" t="s">
        <v>449</v>
      </c>
      <c r="G124" s="409" t="s">
        <v>450</v>
      </c>
      <c r="H124" s="408" t="s">
        <v>451</v>
      </c>
    </row>
    <row r="125" spans="2:16" x14ac:dyDescent="0.2">
      <c r="B125" s="515" t="s">
        <v>428</v>
      </c>
      <c r="C125" s="516"/>
      <c r="D125" s="517"/>
      <c r="E125" s="518"/>
      <c r="F125" s="518"/>
      <c r="G125" s="518"/>
      <c r="H125" s="519"/>
    </row>
    <row r="126" spans="2:16" outlineLevel="1" x14ac:dyDescent="0.2">
      <c r="B126" s="503" t="s">
        <v>423</v>
      </c>
      <c r="C126" s="504" t="s">
        <v>338</v>
      </c>
      <c r="D126" s="505"/>
      <c r="E126" s="520">
        <v>51220.151770625169</v>
      </c>
      <c r="F126" s="520">
        <v>51220.151770625169</v>
      </c>
      <c r="G126" s="520">
        <v>51220.151770625169</v>
      </c>
      <c r="H126" s="521">
        <v>51220.151770625169</v>
      </c>
    </row>
    <row r="127" spans="2:16" hidden="1" outlineLevel="1" x14ac:dyDescent="0.2">
      <c r="B127" s="503" t="s">
        <v>429</v>
      </c>
      <c r="C127" s="504" t="s">
        <v>338</v>
      </c>
      <c r="D127" s="522"/>
      <c r="E127" s="520">
        <v>0</v>
      </c>
      <c r="F127" s="520">
        <v>0</v>
      </c>
      <c r="G127" s="520">
        <v>0</v>
      </c>
      <c r="H127" s="521">
        <v>0</v>
      </c>
      <c r="J127" s="483"/>
    </row>
    <row r="128" spans="2:16" hidden="1" collapsed="1" x14ac:dyDescent="0.2">
      <c r="B128" s="523" t="s">
        <v>430</v>
      </c>
      <c r="C128" s="524" t="s">
        <v>338</v>
      </c>
      <c r="D128" s="525"/>
      <c r="E128" s="526">
        <v>51220.151770625169</v>
      </c>
      <c r="F128" s="526">
        <v>51220.151770625169</v>
      </c>
      <c r="G128" s="526">
        <v>51220.151770625169</v>
      </c>
      <c r="H128" s="527">
        <v>51220.151770625169</v>
      </c>
      <c r="J128" s="483"/>
    </row>
    <row r="129" spans="2:9" x14ac:dyDescent="0.2">
      <c r="B129" s="528" t="s">
        <v>431</v>
      </c>
      <c r="C129" s="504"/>
      <c r="D129" s="522"/>
      <c r="E129" s="520"/>
      <c r="F129" s="520"/>
      <c r="G129" s="520"/>
      <c r="H129" s="521"/>
    </row>
    <row r="130" spans="2:9" outlineLevel="1" x14ac:dyDescent="0.2">
      <c r="B130" s="503" t="s">
        <v>424</v>
      </c>
      <c r="C130" s="504" t="s">
        <v>338</v>
      </c>
      <c r="D130" s="522"/>
      <c r="E130" s="520">
        <v>55642.054105485877</v>
      </c>
      <c r="F130" s="520">
        <v>55642.054105485877</v>
      </c>
      <c r="G130" s="520">
        <v>55642.054105485877</v>
      </c>
      <c r="H130" s="521">
        <v>55642.054105485877</v>
      </c>
    </row>
    <row r="131" spans="2:9" hidden="1" outlineLevel="1" x14ac:dyDescent="0.2">
      <c r="B131" s="503" t="s">
        <v>432</v>
      </c>
      <c r="C131" s="504" t="s">
        <v>338</v>
      </c>
      <c r="D131" s="522"/>
      <c r="E131" s="505">
        <v>0</v>
      </c>
      <c r="F131" s="505">
        <v>0</v>
      </c>
      <c r="G131" s="505">
        <v>0</v>
      </c>
      <c r="H131" s="506">
        <v>0</v>
      </c>
    </row>
    <row r="132" spans="2:9" hidden="1" collapsed="1" x14ac:dyDescent="0.2">
      <c r="B132" s="523" t="s">
        <v>433</v>
      </c>
      <c r="C132" s="524" t="s">
        <v>338</v>
      </c>
      <c r="D132" s="529"/>
      <c r="E132" s="526">
        <v>55642.054105485877</v>
      </c>
      <c r="F132" s="526">
        <v>55642.054105485877</v>
      </c>
      <c r="G132" s="526">
        <v>55642.054105485877</v>
      </c>
      <c r="H132" s="527">
        <v>55642.054105485877</v>
      </c>
    </row>
    <row r="133" spans="2:9" ht="21" x14ac:dyDescent="0.35">
      <c r="B133" s="530" t="s">
        <v>341</v>
      </c>
      <c r="C133" s="531" t="s">
        <v>338</v>
      </c>
      <c r="D133" s="669"/>
      <c r="E133" s="670">
        <v>4072.7023847139099</v>
      </c>
      <c r="F133" s="670">
        <v>4705.0127829429966</v>
      </c>
      <c r="G133" s="670">
        <v>5148.0352873157663</v>
      </c>
      <c r="H133" s="671">
        <v>5377.885855116645</v>
      </c>
    </row>
    <row r="134" spans="2:9" x14ac:dyDescent="0.2">
      <c r="B134" s="532" t="s">
        <v>434</v>
      </c>
      <c r="C134" s="504"/>
      <c r="D134" s="522"/>
      <c r="E134" s="505"/>
      <c r="F134" s="505"/>
      <c r="G134" s="505"/>
      <c r="H134" s="506"/>
    </row>
    <row r="135" spans="2:9" outlineLevel="1" x14ac:dyDescent="0.2">
      <c r="B135" s="503" t="s">
        <v>419</v>
      </c>
      <c r="C135" s="504" t="s">
        <v>338</v>
      </c>
      <c r="D135" s="522"/>
      <c r="E135" s="505">
        <v>4289.7585351952894</v>
      </c>
      <c r="F135" s="505">
        <v>5224.3257562940307</v>
      </c>
      <c r="G135" s="505">
        <v>5237.2131192279594</v>
      </c>
      <c r="H135" s="506">
        <v>4374.0328355575821</v>
      </c>
    </row>
    <row r="136" spans="2:9" outlineLevel="1" x14ac:dyDescent="0.2">
      <c r="B136" s="503" t="s">
        <v>420</v>
      </c>
      <c r="C136" s="504" t="s">
        <v>338</v>
      </c>
      <c r="D136" s="522"/>
      <c r="E136" s="505">
        <v>3314.166753902342</v>
      </c>
      <c r="F136" s="505">
        <v>2876.3667539023422</v>
      </c>
      <c r="G136" s="505">
        <v>1960.3667539023422</v>
      </c>
      <c r="H136" s="506">
        <v>1873.3667539023422</v>
      </c>
    </row>
    <row r="137" spans="2:9" ht="13.5" thickBot="1" x14ac:dyDescent="0.25">
      <c r="B137" s="533" t="s">
        <v>435</v>
      </c>
      <c r="C137" s="512" t="s">
        <v>338</v>
      </c>
      <c r="D137" s="534"/>
      <c r="E137" s="535">
        <v>7603.9252890976313</v>
      </c>
      <c r="F137" s="535">
        <v>8100.6925101963734</v>
      </c>
      <c r="G137" s="535">
        <v>7197.5798731303021</v>
      </c>
      <c r="H137" s="536">
        <v>6247.3995894599248</v>
      </c>
    </row>
    <row r="138" spans="2:9" ht="13.5" thickBot="1" x14ac:dyDescent="0.25">
      <c r="B138" s="537" t="s">
        <v>436</v>
      </c>
      <c r="C138" s="538" t="s">
        <v>338</v>
      </c>
      <c r="D138" s="539"/>
      <c r="E138" s="540">
        <v>118538.83354992259</v>
      </c>
      <c r="F138" s="540">
        <v>119667.91116925042</v>
      </c>
      <c r="G138" s="540">
        <v>119207.82103655713</v>
      </c>
      <c r="H138" s="541">
        <v>118487.49132068762</v>
      </c>
    </row>
    <row r="139" spans="2:9" ht="13.5" thickBot="1" x14ac:dyDescent="0.25">
      <c r="B139" s="494"/>
      <c r="C139" s="493"/>
      <c r="D139" s="493"/>
      <c r="E139" s="495"/>
      <c r="F139" s="495"/>
      <c r="G139" s="495"/>
      <c r="H139" s="495"/>
      <c r="I139" s="495"/>
    </row>
    <row r="140" spans="2:9" x14ac:dyDescent="0.2">
      <c r="B140" s="542" t="s">
        <v>437</v>
      </c>
      <c r="C140" s="543"/>
      <c r="D140" s="543"/>
      <c r="E140" s="409" t="s">
        <v>448</v>
      </c>
      <c r="F140" s="409" t="s">
        <v>449</v>
      </c>
      <c r="G140" s="409" t="s">
        <v>450</v>
      </c>
      <c r="H140" s="408" t="s">
        <v>451</v>
      </c>
      <c r="I140" s="495"/>
    </row>
    <row r="141" spans="2:9" ht="13.5" thickBot="1" x14ac:dyDescent="0.25">
      <c r="B141" s="455"/>
      <c r="C141" s="544"/>
      <c r="D141" s="544"/>
      <c r="E141" s="545">
        <v>0.96332140106614561</v>
      </c>
      <c r="F141" s="545">
        <v>0.8939508176189177</v>
      </c>
      <c r="G141" s="545">
        <v>0.82957574018088143</v>
      </c>
      <c r="H141" s="546">
        <v>0.76983643298151583</v>
      </c>
      <c r="I141" s="495"/>
    </row>
    <row r="142" spans="2:9" ht="13.5" thickBot="1" x14ac:dyDescent="0.25">
      <c r="B142" s="494"/>
      <c r="C142" s="493"/>
      <c r="D142" s="493"/>
      <c r="E142" s="495"/>
      <c r="F142" s="547"/>
      <c r="G142" s="495"/>
      <c r="H142" s="495"/>
      <c r="I142" s="495"/>
    </row>
    <row r="143" spans="2:9" x14ac:dyDescent="0.2">
      <c r="B143" s="411" t="s">
        <v>438</v>
      </c>
      <c r="C143" s="409"/>
      <c r="D143" s="409" t="s">
        <v>337</v>
      </c>
      <c r="E143" s="409" t="s">
        <v>448</v>
      </c>
      <c r="F143" s="409" t="s">
        <v>449</v>
      </c>
      <c r="G143" s="409" t="s">
        <v>450</v>
      </c>
      <c r="H143" s="408" t="s">
        <v>451</v>
      </c>
      <c r="I143" s="548"/>
    </row>
    <row r="144" spans="2:9" x14ac:dyDescent="0.2">
      <c r="B144" s="515" t="s">
        <v>428</v>
      </c>
      <c r="C144" s="516"/>
      <c r="D144" s="517"/>
      <c r="E144" s="518"/>
      <c r="F144" s="518"/>
      <c r="G144" s="518"/>
      <c r="H144" s="519"/>
      <c r="I144" s="483"/>
    </row>
    <row r="145" spans="2:15" outlineLevel="1" x14ac:dyDescent="0.2">
      <c r="B145" s="503" t="s">
        <v>423</v>
      </c>
      <c r="C145" s="504" t="s">
        <v>338</v>
      </c>
      <c r="D145" s="520">
        <v>177051.89917357813</v>
      </c>
      <c r="E145" s="520">
        <v>49341.468366499255</v>
      </c>
      <c r="F145" s="520">
        <v>45788.296553915425</v>
      </c>
      <c r="G145" s="520">
        <v>42490.995317293462</v>
      </c>
      <c r="H145" s="521">
        <v>39431.138935869953</v>
      </c>
      <c r="I145" s="483"/>
    </row>
    <row r="146" spans="2:15" hidden="1" outlineLevel="1" x14ac:dyDescent="0.2">
      <c r="B146" s="503" t="s">
        <v>429</v>
      </c>
      <c r="C146" s="504" t="s">
        <v>338</v>
      </c>
      <c r="D146" s="505">
        <v>0</v>
      </c>
      <c r="E146" s="505">
        <v>0</v>
      </c>
      <c r="F146" s="505">
        <v>0</v>
      </c>
      <c r="G146" s="505">
        <v>0</v>
      </c>
      <c r="H146" s="506">
        <v>0</v>
      </c>
      <c r="I146" s="483"/>
    </row>
    <row r="147" spans="2:15" hidden="1" collapsed="1" x14ac:dyDescent="0.2">
      <c r="B147" s="523" t="s">
        <v>430</v>
      </c>
      <c r="C147" s="524" t="s">
        <v>338</v>
      </c>
      <c r="D147" s="526">
        <v>177051.89917357813</v>
      </c>
      <c r="E147" s="526">
        <v>49341.468366499255</v>
      </c>
      <c r="F147" s="526">
        <v>45788.296553915425</v>
      </c>
      <c r="G147" s="526">
        <v>42490.995317293462</v>
      </c>
      <c r="H147" s="527">
        <v>39431.138935869953</v>
      </c>
      <c r="I147" s="549"/>
    </row>
    <row r="148" spans="2:15" x14ac:dyDescent="0.2">
      <c r="B148" s="528" t="s">
        <v>431</v>
      </c>
      <c r="C148" s="504"/>
      <c r="D148" s="505">
        <v>0</v>
      </c>
      <c r="E148" s="505"/>
      <c r="F148" s="505"/>
      <c r="G148" s="505"/>
      <c r="H148" s="506"/>
      <c r="I148" s="483"/>
    </row>
    <row r="149" spans="2:15" outlineLevel="1" x14ac:dyDescent="0.2">
      <c r="B149" s="503" t="s">
        <v>424</v>
      </c>
      <c r="C149" s="504" t="s">
        <v>338</v>
      </c>
      <c r="D149" s="520">
        <v>192337.01995676494</v>
      </c>
      <c r="E149" s="520">
        <v>53601.181519094935</v>
      </c>
      <c r="F149" s="520">
        <v>49741.259761595153</v>
      </c>
      <c r="G149" s="520">
        <v>46159.298219743097</v>
      </c>
      <c r="H149" s="521">
        <v>42835.280456331755</v>
      </c>
      <c r="I149" s="483"/>
    </row>
    <row r="150" spans="2:15" hidden="1" outlineLevel="1" x14ac:dyDescent="0.2">
      <c r="B150" s="503" t="s">
        <v>432</v>
      </c>
      <c r="C150" s="504" t="s">
        <v>338</v>
      </c>
      <c r="D150" s="505">
        <v>0</v>
      </c>
      <c r="E150" s="505">
        <v>0</v>
      </c>
      <c r="F150" s="505">
        <v>0</v>
      </c>
      <c r="G150" s="505">
        <v>0</v>
      </c>
      <c r="H150" s="506">
        <v>0</v>
      </c>
      <c r="I150" s="483"/>
    </row>
    <row r="151" spans="2:15" hidden="1" collapsed="1" x14ac:dyDescent="0.2">
      <c r="B151" s="523" t="s">
        <v>433</v>
      </c>
      <c r="C151" s="524" t="s">
        <v>338</v>
      </c>
      <c r="D151" s="526">
        <v>192337.01995676494</v>
      </c>
      <c r="E151" s="526">
        <v>53601.181519094935</v>
      </c>
      <c r="F151" s="526">
        <v>49741.259761595153</v>
      </c>
      <c r="G151" s="526">
        <v>46159.298219743097</v>
      </c>
      <c r="H151" s="527">
        <v>42835.280456331755</v>
      </c>
      <c r="I151" s="483"/>
    </row>
    <row r="152" spans="2:15" ht="16.5" customHeight="1" x14ac:dyDescent="0.3">
      <c r="B152" s="530" t="s">
        <v>341</v>
      </c>
      <c r="C152" s="531" t="s">
        <v>338</v>
      </c>
      <c r="D152" s="635">
        <v>16540.149039224409</v>
      </c>
      <c r="E152" s="635">
        <v>3923.3213673680361</v>
      </c>
      <c r="F152" s="635">
        <v>4206.0500242193511</v>
      </c>
      <c r="G152" s="635">
        <v>4270.6851839522733</v>
      </c>
      <c r="H152" s="636">
        <v>4140.0924636847467</v>
      </c>
      <c r="I152" s="549"/>
    </row>
    <row r="153" spans="2:15" x14ac:dyDescent="0.2">
      <c r="B153" s="532" t="s">
        <v>434</v>
      </c>
      <c r="C153" s="504"/>
      <c r="D153" s="505">
        <v>0</v>
      </c>
      <c r="E153" s="505"/>
      <c r="F153" s="505"/>
      <c r="G153" s="505"/>
      <c r="H153" s="506"/>
      <c r="I153" s="483"/>
    </row>
    <row r="154" spans="2:15" outlineLevel="1" x14ac:dyDescent="0.2">
      <c r="B154" s="503" t="s">
        <v>419</v>
      </c>
      <c r="C154" s="504" t="s">
        <v>338</v>
      </c>
      <c r="D154" s="505">
        <v>16514.661269444634</v>
      </c>
      <c r="E154" s="505">
        <v>4132.4162023597828</v>
      </c>
      <c r="F154" s="505">
        <v>4670.2902813466189</v>
      </c>
      <c r="G154" s="505">
        <v>4344.6649498685574</v>
      </c>
      <c r="H154" s="506">
        <v>3367.2898358696743</v>
      </c>
      <c r="I154" s="483"/>
    </row>
    <row r="155" spans="2:15" outlineLevel="1" x14ac:dyDescent="0.2">
      <c r="B155" s="503" t="s">
        <v>420</v>
      </c>
      <c r="C155" s="504" t="s">
        <v>338</v>
      </c>
      <c r="D155" s="505">
        <v>8832.3968525437831</v>
      </c>
      <c r="E155" s="505">
        <v>3192.6077607360439</v>
      </c>
      <c r="F155" s="505">
        <v>2571.3304114228713</v>
      </c>
      <c r="G155" s="505">
        <v>1626.2727008945274</v>
      </c>
      <c r="H155" s="506">
        <v>1442.1859794903403</v>
      </c>
      <c r="I155" s="483"/>
    </row>
    <row r="156" spans="2:15" ht="13.5" thickBot="1" x14ac:dyDescent="0.25">
      <c r="B156" s="533" t="s">
        <v>435</v>
      </c>
      <c r="C156" s="512" t="s">
        <v>338</v>
      </c>
      <c r="D156" s="535">
        <v>25347.058121988419</v>
      </c>
      <c r="E156" s="535">
        <v>7325.0239630958267</v>
      </c>
      <c r="F156" s="535">
        <v>7241.6206927694902</v>
      </c>
      <c r="G156" s="535">
        <v>5970.937650763085</v>
      </c>
      <c r="H156" s="536">
        <v>4809.4758153600142</v>
      </c>
      <c r="I156" s="483"/>
    </row>
    <row r="157" spans="2:15" ht="13.5" thickBot="1" x14ac:dyDescent="0.25">
      <c r="B157" s="537" t="s">
        <v>436</v>
      </c>
      <c r="C157" s="538" t="s">
        <v>338</v>
      </c>
      <c r="D157" s="540">
        <v>411276.12629155582</v>
      </c>
      <c r="E157" s="540">
        <v>114190.99521605804</v>
      </c>
      <c r="F157" s="540">
        <v>106977.22703249942</v>
      </c>
      <c r="G157" s="540">
        <v>98891.916371751911</v>
      </c>
      <c r="H157" s="541">
        <v>91215.987671246461</v>
      </c>
      <c r="I157" s="483"/>
    </row>
    <row r="158" spans="2:15" ht="13.5" thickBot="1" x14ac:dyDescent="0.25">
      <c r="B158" s="493"/>
      <c r="C158" s="550"/>
      <c r="D158" s="493"/>
      <c r="E158" s="493"/>
      <c r="F158" s="493"/>
      <c r="G158" s="493"/>
      <c r="H158" s="493"/>
      <c r="I158" s="493"/>
    </row>
    <row r="159" spans="2:15" ht="39" thickBot="1" x14ac:dyDescent="0.25">
      <c r="B159" s="551"/>
      <c r="C159" s="552"/>
      <c r="D159" s="551" t="s">
        <v>439</v>
      </c>
      <c r="E159" s="553" t="s">
        <v>440</v>
      </c>
      <c r="F159" s="554" t="s">
        <v>441</v>
      </c>
    </row>
    <row r="160" spans="2:15" x14ac:dyDescent="0.2">
      <c r="B160" s="555" t="s">
        <v>442</v>
      </c>
      <c r="C160" s="459"/>
      <c r="D160" s="505">
        <v>205159.74981340076</v>
      </c>
      <c r="E160" s="520">
        <v>177051.89917357813</v>
      </c>
      <c r="F160" s="556">
        <v>-0.13700470323924452</v>
      </c>
      <c r="I160" s="548"/>
      <c r="J160" s="557"/>
      <c r="K160" s="557"/>
      <c r="L160" s="557"/>
      <c r="M160" s="557"/>
      <c r="N160" s="557"/>
      <c r="O160" s="557"/>
    </row>
    <row r="161" spans="2:15" x14ac:dyDescent="0.2">
      <c r="B161" s="558" t="s">
        <v>443</v>
      </c>
      <c r="C161" s="459"/>
      <c r="D161" s="505">
        <v>14985.132639654974</v>
      </c>
      <c r="E161" s="520">
        <v>192337.01995676494</v>
      </c>
      <c r="F161" s="556">
        <v>11.835189689798662</v>
      </c>
      <c r="I161" s="483"/>
      <c r="J161" s="557"/>
      <c r="K161" s="557"/>
      <c r="L161" s="557"/>
      <c r="M161" s="557"/>
      <c r="N161" s="557"/>
      <c r="O161" s="557"/>
    </row>
    <row r="162" spans="2:15" x14ac:dyDescent="0.2">
      <c r="B162" s="555" t="s">
        <v>341</v>
      </c>
      <c r="C162" s="459"/>
      <c r="D162" s="505">
        <v>16135.123894473314</v>
      </c>
      <c r="E162" s="753">
        <v>16540.149039224409</v>
      </c>
      <c r="F162" s="556">
        <v>2.5102078385021098E-2</v>
      </c>
      <c r="I162" s="483"/>
      <c r="J162" s="557"/>
      <c r="K162" s="559"/>
      <c r="L162" s="557"/>
      <c r="M162" s="557"/>
      <c r="N162" s="557"/>
      <c r="O162" s="557"/>
    </row>
    <row r="163" spans="2:15" ht="13.5" thickBot="1" x14ac:dyDescent="0.25">
      <c r="B163" s="560" t="s">
        <v>444</v>
      </c>
      <c r="C163" s="459"/>
      <c r="D163" s="513">
        <v>39377.625397864402</v>
      </c>
      <c r="E163" s="535">
        <v>25347.058121988419</v>
      </c>
      <c r="F163" s="561">
        <v>-0.35630810984953176</v>
      </c>
      <c r="I163" s="483"/>
      <c r="J163" s="557"/>
      <c r="K163" s="559"/>
      <c r="L163" s="557"/>
      <c r="M163" s="557"/>
      <c r="N163" s="557"/>
      <c r="O163" s="557"/>
    </row>
    <row r="164" spans="2:15" ht="13.5" thickBot="1" x14ac:dyDescent="0.25">
      <c r="D164" s="562">
        <v>2013</v>
      </c>
      <c r="E164" s="562">
        <v>2014</v>
      </c>
      <c r="F164" s="562">
        <v>2015</v>
      </c>
      <c r="G164" s="562">
        <v>2016</v>
      </c>
      <c r="H164" s="562">
        <v>2017</v>
      </c>
      <c r="I164" s="562">
        <v>2018</v>
      </c>
      <c r="J164" s="562">
        <v>2019</v>
      </c>
      <c r="K164" s="562">
        <v>2020</v>
      </c>
      <c r="L164" s="557"/>
      <c r="M164" s="563"/>
      <c r="N164" s="563"/>
      <c r="O164" s="563"/>
    </row>
    <row r="165" spans="2:15" ht="13.5" outlineLevel="1" thickBot="1" x14ac:dyDescent="0.25">
      <c r="B165" s="564"/>
      <c r="C165" s="565"/>
      <c r="D165" s="566" t="s">
        <v>452</v>
      </c>
      <c r="E165" s="566" t="s">
        <v>453</v>
      </c>
      <c r="F165" s="566" t="s">
        <v>454</v>
      </c>
      <c r="G165" s="566" t="s">
        <v>455</v>
      </c>
      <c r="H165" s="566" t="s">
        <v>448</v>
      </c>
      <c r="I165" s="566" t="s">
        <v>449</v>
      </c>
      <c r="J165" s="566" t="s">
        <v>450</v>
      </c>
      <c r="K165" s="567" t="s">
        <v>451</v>
      </c>
      <c r="L165" s="563"/>
      <c r="M165" s="563"/>
      <c r="N165" s="563"/>
      <c r="O165" s="563"/>
    </row>
    <row r="166" spans="2:15" outlineLevel="1" x14ac:dyDescent="0.2">
      <c r="B166" s="568" t="s">
        <v>423</v>
      </c>
      <c r="C166" s="569"/>
      <c r="D166" s="570">
        <v>46803.674244779482</v>
      </c>
      <c r="E166" s="570">
        <v>49433.844294925722</v>
      </c>
      <c r="F166" s="570">
        <v>51533.836253773079</v>
      </c>
      <c r="G166" s="570">
        <v>57388.395019922486</v>
      </c>
      <c r="H166" s="570">
        <v>49341.468366499255</v>
      </c>
      <c r="I166" s="570">
        <v>45788.296553915425</v>
      </c>
      <c r="J166" s="570">
        <v>42490.995317293462</v>
      </c>
      <c r="K166" s="571">
        <v>39431.138935869953</v>
      </c>
      <c r="L166" s="563"/>
      <c r="M166" s="563"/>
      <c r="N166" s="563"/>
      <c r="O166" s="563"/>
    </row>
    <row r="167" spans="2:15" outlineLevel="1" x14ac:dyDescent="0.2">
      <c r="B167" s="572" t="s">
        <v>424</v>
      </c>
      <c r="C167" s="459"/>
      <c r="D167" s="573">
        <v>0</v>
      </c>
      <c r="E167" s="573">
        <v>0</v>
      </c>
      <c r="F167" s="573">
        <v>0</v>
      </c>
      <c r="G167" s="573">
        <v>14985.132639654974</v>
      </c>
      <c r="H167" s="573">
        <v>53601.181519094935</v>
      </c>
      <c r="I167" s="573">
        <v>49741.259761595153</v>
      </c>
      <c r="J167" s="573">
        <v>46159.298219743097</v>
      </c>
      <c r="K167" s="574">
        <v>42835.280456331755</v>
      </c>
      <c r="L167" s="557"/>
      <c r="M167" s="557"/>
      <c r="N167" s="557"/>
      <c r="O167" s="557"/>
    </row>
    <row r="168" spans="2:15" outlineLevel="1" x14ac:dyDescent="0.2">
      <c r="B168" s="451" t="s">
        <v>341</v>
      </c>
      <c r="C168" s="459"/>
      <c r="D168" s="573">
        <v>3604.9012297143545</v>
      </c>
      <c r="E168" s="573">
        <v>4576.4353171315834</v>
      </c>
      <c r="F168" s="573">
        <v>4167.307019035673</v>
      </c>
      <c r="G168" s="573">
        <v>3786.4803285917028</v>
      </c>
      <c r="H168" s="575">
        <v>3923.3213673680361</v>
      </c>
      <c r="I168" s="575">
        <v>4206.0500242193511</v>
      </c>
      <c r="J168" s="575">
        <v>4270.6851839522733</v>
      </c>
      <c r="K168" s="576">
        <v>4140.0924636847467</v>
      </c>
      <c r="L168" s="557"/>
      <c r="M168" s="557"/>
      <c r="N168" s="557"/>
      <c r="O168" s="557"/>
    </row>
    <row r="169" spans="2:15" ht="13.5" outlineLevel="1" thickBot="1" x14ac:dyDescent="0.25">
      <c r="B169" s="455" t="s">
        <v>435</v>
      </c>
      <c r="C169" s="577"/>
      <c r="D169" s="578">
        <v>9931.3789322943703</v>
      </c>
      <c r="E169" s="578">
        <v>11844.477979530508</v>
      </c>
      <c r="F169" s="578">
        <v>8683.7317450607316</v>
      </c>
      <c r="G169" s="578">
        <v>8918.0367409787941</v>
      </c>
      <c r="H169" s="578">
        <v>7325.0239630958267</v>
      </c>
      <c r="I169" s="578">
        <v>7241.6206927694902</v>
      </c>
      <c r="J169" s="578">
        <v>5970.937650763085</v>
      </c>
      <c r="K169" s="579">
        <v>4809.4758153600142</v>
      </c>
      <c r="L169" s="557"/>
      <c r="M169" s="557"/>
      <c r="N169" s="557"/>
      <c r="O169" s="557"/>
    </row>
    <row r="170" spans="2:15" ht="13.5" thickBot="1" x14ac:dyDescent="0.25">
      <c r="C170" s="459"/>
      <c r="D170" s="459"/>
      <c r="E170" s="580"/>
      <c r="F170" s="580"/>
      <c r="G170" s="580"/>
      <c r="H170" s="580"/>
      <c r="I170" s="580"/>
      <c r="J170" s="580"/>
      <c r="K170" s="580"/>
      <c r="L170" s="563"/>
      <c r="M170" s="563"/>
      <c r="N170" s="563"/>
      <c r="O170" s="563"/>
    </row>
    <row r="171" spans="2:15" ht="13.5" outlineLevel="1" thickBot="1" x14ac:dyDescent="0.25">
      <c r="B171" s="581" t="s">
        <v>445</v>
      </c>
      <c r="C171" s="582"/>
      <c r="D171" s="583">
        <v>60339.954406788209</v>
      </c>
      <c r="E171" s="583">
        <v>65854.757591587811</v>
      </c>
      <c r="F171" s="583">
        <v>64384.875017869483</v>
      </c>
      <c r="G171" s="583">
        <v>85078.04472914795</v>
      </c>
      <c r="H171" s="583">
        <v>114190.99521605804</v>
      </c>
      <c r="I171" s="583">
        <v>106977.22703249942</v>
      </c>
      <c r="J171" s="583">
        <v>98891.916371751911</v>
      </c>
      <c r="K171" s="584">
        <v>91215.987671246461</v>
      </c>
    </row>
    <row r="172" spans="2:15" ht="13.5" outlineLevel="1" thickBot="1" x14ac:dyDescent="0.25">
      <c r="C172" s="459"/>
      <c r="D172" s="459"/>
      <c r="E172" s="557"/>
      <c r="F172" s="557"/>
      <c r="G172" s="557"/>
      <c r="H172" s="557"/>
      <c r="I172" s="557"/>
      <c r="J172" s="557"/>
      <c r="K172" s="557"/>
      <c r="M172" s="557"/>
      <c r="N172" s="557"/>
      <c r="O172" s="557"/>
    </row>
    <row r="173" spans="2:15" ht="13.5" outlineLevel="1" thickBot="1" x14ac:dyDescent="0.25">
      <c r="B173" s="581" t="s">
        <v>446</v>
      </c>
      <c r="C173" s="585"/>
      <c r="D173" s="585"/>
      <c r="E173" s="586"/>
      <c r="F173" s="586"/>
      <c r="G173" s="586"/>
      <c r="H173" s="587">
        <v>0.34219110911156059</v>
      </c>
      <c r="I173" s="587">
        <v>-6.3172828732332431E-2</v>
      </c>
      <c r="J173" s="587">
        <v>-7.5579736781653639E-2</v>
      </c>
      <c r="K173" s="588">
        <v>-7.7619374587203915E-2</v>
      </c>
      <c r="L173" s="580"/>
      <c r="M173" s="580"/>
      <c r="N173" s="580"/>
      <c r="O173" s="580"/>
    </row>
    <row r="174" spans="2:15" ht="13.5" outlineLevel="1" thickBot="1" x14ac:dyDescent="0.25">
      <c r="C174" s="459"/>
      <c r="D174" s="459"/>
      <c r="E174" s="557"/>
      <c r="F174" s="557"/>
      <c r="G174" s="557"/>
      <c r="H174" s="557"/>
      <c r="I174" s="557"/>
      <c r="J174" s="557"/>
      <c r="K174" s="557"/>
      <c r="L174" s="589"/>
      <c r="M174" s="589"/>
      <c r="N174" s="589"/>
      <c r="O174" s="589"/>
    </row>
    <row r="175" spans="2:15" ht="13.5" outlineLevel="1" thickBot="1" x14ac:dyDescent="0.25">
      <c r="B175" s="581" t="s">
        <v>447</v>
      </c>
      <c r="C175" s="590"/>
      <c r="D175" s="590"/>
      <c r="E175" s="586"/>
      <c r="F175" s="586"/>
      <c r="G175" s="586"/>
      <c r="H175" s="587">
        <v>0.34219110911156059</v>
      </c>
      <c r="I175" s="587">
        <v>0.27901828037922816</v>
      </c>
      <c r="J175" s="587">
        <v>0.20343854359757452</v>
      </c>
      <c r="K175" s="588">
        <v>0.1258191690103706</v>
      </c>
      <c r="L175" s="557"/>
      <c r="M175" s="557"/>
      <c r="N175" s="557"/>
      <c r="O175" s="557"/>
    </row>
    <row r="176" spans="2:15" x14ac:dyDescent="0.2">
      <c r="L176" s="557"/>
      <c r="M176" s="557"/>
      <c r="N176" s="557"/>
      <c r="O176" s="557"/>
    </row>
    <row r="177" spans="12:16" x14ac:dyDescent="0.2">
      <c r="L177" s="591">
        <v>2021</v>
      </c>
      <c r="M177" s="557"/>
      <c r="N177" s="557"/>
      <c r="O177" s="557"/>
    </row>
    <row r="178" spans="12:16" x14ac:dyDescent="0.2">
      <c r="L178" s="557"/>
      <c r="M178" s="557"/>
      <c r="N178" s="557"/>
      <c r="O178" s="557"/>
    </row>
    <row r="179" spans="12:16" x14ac:dyDescent="0.2">
      <c r="L179" s="557"/>
      <c r="M179" s="557"/>
      <c r="N179" s="557"/>
      <c r="O179" s="557"/>
    </row>
    <row r="180" spans="12:16" x14ac:dyDescent="0.2">
      <c r="L180" s="557"/>
      <c r="M180" s="557"/>
      <c r="N180" s="557"/>
      <c r="O180" s="557"/>
    </row>
    <row r="181" spans="12:16" x14ac:dyDescent="0.2">
      <c r="L181" s="557"/>
      <c r="M181" s="557"/>
      <c r="N181" s="557"/>
      <c r="O181" s="557"/>
    </row>
    <row r="182" spans="12:16" x14ac:dyDescent="0.2">
      <c r="L182" s="592"/>
      <c r="M182" s="592"/>
      <c r="N182" s="592"/>
      <c r="O182" s="592"/>
    </row>
    <row r="183" spans="12:16" x14ac:dyDescent="0.2">
      <c r="L183" s="580"/>
      <c r="M183" s="580"/>
      <c r="N183" s="580"/>
      <c r="O183" s="580"/>
    </row>
    <row r="184" spans="12:16" x14ac:dyDescent="0.2">
      <c r="L184" s="557"/>
      <c r="M184" s="557"/>
      <c r="N184" s="557"/>
      <c r="O184" s="557"/>
    </row>
    <row r="185" spans="12:16" x14ac:dyDescent="0.2">
      <c r="L185" s="557"/>
      <c r="M185" s="557"/>
      <c r="N185" s="557"/>
      <c r="O185" s="557"/>
    </row>
    <row r="186" spans="12:16" x14ac:dyDescent="0.2">
      <c r="L186" s="557"/>
      <c r="M186" s="557"/>
      <c r="N186" s="557"/>
      <c r="O186" s="557"/>
    </row>
    <row r="187" spans="12:16" x14ac:dyDescent="0.2">
      <c r="L187" s="557"/>
      <c r="M187" s="557"/>
      <c r="N187" s="557"/>
      <c r="O187" s="557"/>
    </row>
    <row r="188" spans="12:16" x14ac:dyDescent="0.2">
      <c r="L188" s="557"/>
      <c r="M188" s="557"/>
      <c r="N188" s="557"/>
      <c r="O188" s="557"/>
    </row>
    <row r="189" spans="12:16" x14ac:dyDescent="0.2">
      <c r="L189" s="580"/>
      <c r="M189" s="580"/>
      <c r="N189" s="580"/>
      <c r="O189" s="580"/>
    </row>
    <row r="190" spans="12:16" x14ac:dyDescent="0.2">
      <c r="L190" s="593"/>
      <c r="M190" s="593"/>
      <c r="N190" s="593"/>
      <c r="O190" s="593"/>
    </row>
    <row r="191" spans="12:16" x14ac:dyDescent="0.2">
      <c r="L191" s="593"/>
      <c r="M191" s="593"/>
      <c r="N191" s="593"/>
      <c r="O191" s="593"/>
      <c r="P191" s="592"/>
    </row>
    <row r="192" spans="12:16" x14ac:dyDescent="0.2">
      <c r="L192" s="592"/>
      <c r="M192" s="592"/>
      <c r="N192" s="592"/>
      <c r="O192" s="592"/>
    </row>
    <row r="193" spans="2:15" x14ac:dyDescent="0.2">
      <c r="L193" s="580"/>
      <c r="M193" s="580"/>
      <c r="N193" s="580"/>
      <c r="O193" s="580"/>
    </row>
    <row r="194" spans="2:15" x14ac:dyDescent="0.2">
      <c r="L194" s="593"/>
      <c r="M194" s="593"/>
      <c r="N194" s="593"/>
      <c r="O194" s="593"/>
    </row>
    <row r="195" spans="2:15" x14ac:dyDescent="0.2">
      <c r="L195" s="593"/>
      <c r="M195" s="593"/>
      <c r="N195" s="593"/>
      <c r="O195" s="593"/>
    </row>
    <row r="196" spans="2:15" x14ac:dyDescent="0.2">
      <c r="B196" s="1712"/>
      <c r="C196" s="1712"/>
      <c r="D196" s="1712"/>
      <c r="E196" s="1712"/>
      <c r="F196" s="1712"/>
      <c r="G196" s="1712"/>
      <c r="H196" s="1712"/>
      <c r="I196" s="1712"/>
    </row>
    <row r="197" spans="2:15" x14ac:dyDescent="0.2">
      <c r="B197" s="1712"/>
      <c r="C197" s="1712"/>
      <c r="D197" s="1712"/>
      <c r="E197" s="1712"/>
      <c r="F197" s="1712"/>
      <c r="G197" s="1712"/>
      <c r="H197" s="1712"/>
      <c r="I197" s="1712"/>
    </row>
    <row r="198" spans="2:15" x14ac:dyDescent="0.2">
      <c r="B198" s="1712"/>
      <c r="C198" s="1712"/>
      <c r="D198" s="1712"/>
      <c r="E198" s="1712"/>
      <c r="F198" s="1712"/>
      <c r="G198" s="1712"/>
      <c r="H198" s="1712"/>
      <c r="I198" s="1712"/>
    </row>
    <row r="199" spans="2:15" ht="3" customHeight="1" x14ac:dyDescent="0.2">
      <c r="B199" s="427"/>
    </row>
    <row r="200" spans="2:15" ht="3" customHeight="1" x14ac:dyDescent="0.2">
      <c r="B200" s="427"/>
    </row>
    <row r="201" spans="2:15" x14ac:dyDescent="0.2">
      <c r="B201" s="594"/>
      <c r="C201" s="595"/>
      <c r="D201" s="595"/>
      <c r="E201" s="594"/>
      <c r="F201" s="594"/>
      <c r="G201" s="594"/>
      <c r="H201" s="594"/>
      <c r="I201" s="594"/>
    </row>
    <row r="202" spans="2:15" x14ac:dyDescent="0.2">
      <c r="B202" s="596"/>
      <c r="C202" s="595"/>
      <c r="D202" s="595"/>
      <c r="E202" s="595"/>
      <c r="F202" s="597"/>
      <c r="G202" s="597"/>
      <c r="H202" s="597"/>
      <c r="I202" s="597"/>
    </row>
    <row r="203" spans="2:15" x14ac:dyDescent="0.2">
      <c r="B203" s="595"/>
      <c r="C203" s="595"/>
      <c r="D203" s="595"/>
      <c r="E203" s="598"/>
      <c r="F203" s="598"/>
      <c r="G203" s="598"/>
      <c r="H203" s="598"/>
      <c r="I203" s="598"/>
      <c r="J203" s="460"/>
      <c r="K203" s="460"/>
    </row>
    <row r="204" spans="2:15" x14ac:dyDescent="0.2">
      <c r="B204" s="599"/>
      <c r="C204" s="595"/>
      <c r="D204" s="595"/>
      <c r="E204" s="598"/>
      <c r="F204" s="598"/>
      <c r="G204" s="598"/>
      <c r="H204" s="598"/>
      <c r="I204" s="598"/>
      <c r="J204" s="460"/>
      <c r="K204" s="460"/>
    </row>
    <row r="205" spans="2:15" x14ac:dyDescent="0.2">
      <c r="B205" s="595"/>
      <c r="C205" s="595"/>
      <c r="D205" s="595"/>
      <c r="E205" s="598"/>
      <c r="F205" s="598"/>
      <c r="G205" s="598"/>
      <c r="H205" s="598"/>
      <c r="I205" s="598"/>
      <c r="J205" s="460"/>
      <c r="K205" s="460"/>
    </row>
    <row r="206" spans="2:15" x14ac:dyDescent="0.2">
      <c r="B206" s="595"/>
      <c r="C206" s="595"/>
      <c r="D206" s="595"/>
      <c r="E206" s="598"/>
      <c r="F206" s="598"/>
      <c r="G206" s="598"/>
      <c r="H206" s="598"/>
      <c r="I206" s="598"/>
      <c r="J206" s="460"/>
      <c r="K206" s="460"/>
    </row>
    <row r="207" spans="2:15" x14ac:dyDescent="0.2">
      <c r="B207" s="595"/>
      <c r="C207" s="595"/>
      <c r="D207" s="595"/>
      <c r="E207" s="598"/>
      <c r="F207" s="598"/>
      <c r="G207" s="598"/>
      <c r="H207" s="598"/>
      <c r="I207" s="598"/>
      <c r="J207" s="460"/>
      <c r="K207" s="460"/>
    </row>
    <row r="208" spans="2:15" x14ac:dyDescent="0.2">
      <c r="B208" s="595"/>
      <c r="C208" s="595"/>
      <c r="D208" s="595"/>
      <c r="E208" s="598"/>
      <c r="F208" s="598"/>
      <c r="G208" s="598"/>
      <c r="H208" s="598"/>
      <c r="I208" s="598"/>
      <c r="J208" s="460"/>
      <c r="K208" s="460"/>
    </row>
    <row r="209" spans="2:16" x14ac:dyDescent="0.2">
      <c r="B209" s="595"/>
      <c r="C209" s="595"/>
      <c r="D209" s="595"/>
      <c r="E209" s="595"/>
      <c r="F209" s="595"/>
      <c r="G209" s="595"/>
      <c r="H209" s="595"/>
      <c r="I209" s="595"/>
    </row>
    <row r="210" spans="2:16" x14ac:dyDescent="0.2">
      <c r="B210" s="596"/>
      <c r="C210" s="595"/>
      <c r="D210" s="595"/>
      <c r="E210" s="594"/>
      <c r="F210" s="594"/>
      <c r="G210" s="594"/>
      <c r="H210" s="594"/>
      <c r="I210" s="594"/>
    </row>
    <row r="211" spans="2:16" x14ac:dyDescent="0.2">
      <c r="B211" s="596"/>
      <c r="C211" s="595"/>
      <c r="D211" s="595"/>
      <c r="E211" s="598"/>
      <c r="F211" s="598"/>
      <c r="G211" s="598"/>
      <c r="H211" s="598"/>
      <c r="I211" s="598"/>
    </row>
    <row r="212" spans="2:16" x14ac:dyDescent="0.2">
      <c r="B212" s="600"/>
      <c r="C212" s="595"/>
      <c r="D212" s="595"/>
      <c r="E212" s="598"/>
      <c r="F212" s="598"/>
      <c r="G212" s="598"/>
      <c r="H212" s="598"/>
      <c r="I212" s="598"/>
      <c r="J212" s="460"/>
      <c r="K212" s="460"/>
    </row>
    <row r="213" spans="2:16" x14ac:dyDescent="0.2">
      <c r="B213" s="596"/>
      <c r="C213" s="595"/>
      <c r="D213" s="595"/>
      <c r="E213" s="598"/>
      <c r="F213" s="598"/>
      <c r="G213" s="598"/>
      <c r="H213" s="598"/>
      <c r="I213" s="598"/>
    </row>
    <row r="214" spans="2:16" x14ac:dyDescent="0.2">
      <c r="B214" s="596"/>
      <c r="C214" s="595"/>
      <c r="D214" s="595"/>
      <c r="E214" s="598"/>
      <c r="F214" s="598"/>
      <c r="G214" s="598"/>
      <c r="H214" s="598"/>
      <c r="I214" s="598"/>
    </row>
    <row r="215" spans="2:16" x14ac:dyDescent="0.2">
      <c r="B215" s="595"/>
      <c r="C215" s="595"/>
      <c r="D215" s="595"/>
      <c r="E215" s="598"/>
      <c r="F215" s="598"/>
      <c r="G215" s="598"/>
      <c r="H215" s="598"/>
      <c r="I215" s="598"/>
      <c r="J215" s="477"/>
      <c r="K215" s="477"/>
    </row>
    <row r="216" spans="2:16" x14ac:dyDescent="0.2">
      <c r="B216" s="595"/>
      <c r="C216" s="595"/>
      <c r="D216" s="595"/>
      <c r="E216" s="598"/>
      <c r="F216" s="598"/>
      <c r="G216" s="598"/>
      <c r="H216" s="598"/>
      <c r="I216" s="598"/>
    </row>
    <row r="217" spans="2:16" x14ac:dyDescent="0.2">
      <c r="B217" s="595"/>
      <c r="C217" s="595"/>
      <c r="D217" s="595"/>
      <c r="E217" s="595"/>
      <c r="F217" s="595"/>
      <c r="G217" s="595"/>
      <c r="H217" s="595"/>
      <c r="I217" s="595"/>
    </row>
    <row r="218" spans="2:16" x14ac:dyDescent="0.2">
      <c r="B218" s="596"/>
      <c r="C218" s="595"/>
      <c r="D218" s="595"/>
      <c r="E218" s="601"/>
      <c r="F218" s="601"/>
      <c r="G218" s="601"/>
      <c r="H218" s="601"/>
      <c r="I218" s="601"/>
      <c r="N218" s="427"/>
      <c r="O218" s="427"/>
      <c r="P218" s="427"/>
    </row>
    <row r="219" spans="2:16" x14ac:dyDescent="0.2">
      <c r="B219" s="595"/>
      <c r="C219" s="595"/>
      <c r="D219" s="595"/>
      <c r="E219" s="595"/>
      <c r="F219" s="595"/>
      <c r="G219" s="595"/>
      <c r="H219" s="595"/>
      <c r="I219" s="595"/>
      <c r="L219" s="427"/>
      <c r="N219" s="427"/>
      <c r="O219" s="427"/>
      <c r="P219" s="427"/>
    </row>
    <row r="220" spans="2:16" x14ac:dyDescent="0.2">
      <c r="B220" s="596"/>
      <c r="C220" s="595"/>
      <c r="D220" s="594"/>
      <c r="E220" s="595"/>
      <c r="F220" s="595"/>
      <c r="G220" s="595"/>
      <c r="H220" s="602"/>
      <c r="I220" s="602"/>
      <c r="N220" s="603"/>
      <c r="O220" s="603"/>
      <c r="P220" s="603"/>
    </row>
    <row r="221" spans="2:16" x14ac:dyDescent="0.2">
      <c r="B221" s="596"/>
      <c r="C221" s="595"/>
      <c r="D221" s="604"/>
      <c r="E221" s="605"/>
      <c r="F221" s="605"/>
      <c r="G221" s="605"/>
      <c r="H221" s="605"/>
      <c r="I221" s="606"/>
      <c r="N221" s="607"/>
      <c r="O221" s="607"/>
      <c r="P221" s="607"/>
    </row>
    <row r="222" spans="2:16" x14ac:dyDescent="0.2">
      <c r="B222" s="608"/>
      <c r="C222" s="595"/>
      <c r="D222" s="609"/>
      <c r="E222" s="610"/>
      <c r="F222" s="610"/>
      <c r="G222" s="610"/>
      <c r="H222" s="610"/>
      <c r="I222" s="606"/>
      <c r="N222" s="607"/>
      <c r="O222" s="607"/>
      <c r="P222" s="607"/>
    </row>
    <row r="223" spans="2:16" x14ac:dyDescent="0.2">
      <c r="B223" s="608"/>
      <c r="C223" s="595"/>
      <c r="D223" s="609"/>
      <c r="E223" s="610"/>
      <c r="F223" s="610"/>
      <c r="G223" s="610"/>
      <c r="H223" s="610"/>
      <c r="I223" s="606"/>
      <c r="L223" s="611"/>
      <c r="N223" s="607"/>
      <c r="O223" s="607"/>
      <c r="P223" s="607"/>
    </row>
    <row r="224" spans="2:16" ht="13.5" customHeight="1" x14ac:dyDescent="0.2">
      <c r="B224" s="600"/>
      <c r="C224" s="595"/>
      <c r="D224" s="612"/>
      <c r="E224" s="605"/>
      <c r="F224" s="605"/>
      <c r="G224" s="605"/>
      <c r="H224" s="605"/>
      <c r="I224" s="606"/>
      <c r="N224" s="607"/>
      <c r="O224" s="607"/>
      <c r="P224" s="607"/>
    </row>
    <row r="225" spans="2:16" x14ac:dyDescent="0.2">
      <c r="B225" s="608"/>
      <c r="C225" s="595"/>
      <c r="D225" s="612"/>
      <c r="E225" s="605"/>
      <c r="F225" s="605"/>
      <c r="G225" s="605"/>
      <c r="H225" s="605"/>
      <c r="I225" s="606"/>
      <c r="L225" s="611"/>
      <c r="N225" s="607"/>
      <c r="O225" s="607"/>
      <c r="P225" s="607"/>
    </row>
    <row r="226" spans="2:16" x14ac:dyDescent="0.2">
      <c r="B226" s="596"/>
      <c r="C226" s="595"/>
      <c r="D226" s="612"/>
      <c r="E226" s="606"/>
      <c r="F226" s="606"/>
      <c r="G226" s="606"/>
      <c r="H226" s="606"/>
      <c r="I226" s="606"/>
      <c r="L226" s="427"/>
      <c r="N226" s="613"/>
      <c r="O226" s="613"/>
      <c r="P226" s="613"/>
    </row>
    <row r="227" spans="2:16" x14ac:dyDescent="0.2">
      <c r="B227" s="596"/>
      <c r="C227" s="595"/>
      <c r="D227" s="612"/>
      <c r="E227" s="606"/>
      <c r="F227" s="606"/>
      <c r="G227" s="606"/>
      <c r="H227" s="606"/>
      <c r="I227" s="606"/>
      <c r="N227" s="607"/>
      <c r="O227" s="607"/>
      <c r="P227" s="607"/>
    </row>
    <row r="228" spans="2:16" x14ac:dyDescent="0.2">
      <c r="B228" s="608"/>
      <c r="C228" s="595"/>
      <c r="D228" s="598"/>
      <c r="E228" s="606"/>
      <c r="F228" s="606"/>
      <c r="G228" s="606"/>
      <c r="H228" s="606"/>
      <c r="I228" s="606"/>
      <c r="L228" s="427"/>
      <c r="N228" s="614"/>
      <c r="O228" s="614"/>
      <c r="P228" s="614"/>
    </row>
    <row r="229" spans="2:16" x14ac:dyDescent="0.2">
      <c r="B229" s="608"/>
      <c r="C229" s="595"/>
      <c r="D229" s="598"/>
      <c r="E229" s="606"/>
      <c r="F229" s="606"/>
      <c r="G229" s="606"/>
      <c r="H229" s="606"/>
      <c r="I229" s="606"/>
    </row>
    <row r="230" spans="2:16" x14ac:dyDescent="0.2">
      <c r="B230" s="596"/>
      <c r="C230" s="595"/>
      <c r="D230" s="612"/>
      <c r="E230" s="615"/>
      <c r="F230" s="615"/>
      <c r="G230" s="615"/>
      <c r="H230" s="615"/>
      <c r="I230" s="615"/>
      <c r="L230" s="483"/>
      <c r="N230" s="616"/>
      <c r="O230" s="616"/>
      <c r="P230" s="616"/>
    </row>
    <row r="231" spans="2:16" x14ac:dyDescent="0.2">
      <c r="B231" s="427"/>
      <c r="D231" s="483"/>
      <c r="E231" s="617"/>
      <c r="G231" s="617"/>
      <c r="H231" s="617"/>
      <c r="I231" s="617"/>
      <c r="L231" s="427"/>
    </row>
    <row r="232" spans="2:16" x14ac:dyDescent="0.2">
      <c r="I232" s="483"/>
      <c r="L232" s="480"/>
    </row>
    <row r="233" spans="2:16" x14ac:dyDescent="0.2">
      <c r="E233" s="483"/>
      <c r="F233" s="483"/>
      <c r="G233" s="483"/>
      <c r="H233" s="483"/>
      <c r="I233" s="483"/>
      <c r="L233" s="480"/>
    </row>
    <row r="234" spans="2:16" x14ac:dyDescent="0.2">
      <c r="D234" s="589"/>
      <c r="E234" s="427"/>
    </row>
    <row r="235" spans="2:16" x14ac:dyDescent="0.2">
      <c r="F235" s="549"/>
      <c r="G235" s="549"/>
      <c r="H235" s="549"/>
      <c r="I235" s="549"/>
    </row>
    <row r="236" spans="2:16" ht="21" customHeight="1" x14ac:dyDescent="0.2">
      <c r="B236" s="1710"/>
      <c r="C236" s="1711"/>
      <c r="F236" s="618"/>
      <c r="G236" s="618"/>
      <c r="H236" s="618"/>
      <c r="I236" s="618"/>
      <c r="N236" s="1712"/>
      <c r="O236" s="1712"/>
      <c r="P236" s="1712"/>
    </row>
    <row r="237" spans="2:16" ht="18.75" customHeight="1" x14ac:dyDescent="0.2">
      <c r="B237" s="619"/>
      <c r="C237" s="620"/>
      <c r="D237" s="618"/>
      <c r="E237" s="618"/>
      <c r="F237" s="618"/>
      <c r="G237" s="618"/>
      <c r="N237" s="480"/>
      <c r="O237" s="480"/>
      <c r="P237" s="480"/>
    </row>
    <row r="238" spans="2:16" ht="18.75" customHeight="1" x14ac:dyDescent="0.2">
      <c r="B238" s="619"/>
      <c r="C238" s="620"/>
      <c r="D238" s="618"/>
      <c r="E238" s="618"/>
      <c r="F238" s="618"/>
      <c r="G238" s="621"/>
      <c r="H238" s="427"/>
      <c r="I238" s="621"/>
      <c r="J238" s="427"/>
      <c r="K238" s="427"/>
      <c r="L238" s="621"/>
      <c r="N238" s="480"/>
      <c r="O238" s="480"/>
      <c r="P238" s="480"/>
    </row>
    <row r="239" spans="2:16" ht="21" customHeight="1" x14ac:dyDescent="0.2">
      <c r="B239" s="594"/>
      <c r="C239" s="622"/>
      <c r="D239" s="618"/>
      <c r="E239" s="618"/>
      <c r="F239" s="427"/>
      <c r="G239" s="483"/>
      <c r="H239" s="483"/>
      <c r="I239" s="483"/>
      <c r="J239" s="483"/>
      <c r="K239" s="483"/>
      <c r="L239" s="483"/>
      <c r="N239" s="480"/>
      <c r="O239" s="480"/>
      <c r="P239" s="480"/>
    </row>
    <row r="240" spans="2:16" x14ac:dyDescent="0.2">
      <c r="D240" s="618"/>
      <c r="E240" s="618"/>
      <c r="N240" s="480"/>
      <c r="O240" s="480"/>
      <c r="P240" s="480"/>
    </row>
    <row r="241" spans="1:16" x14ac:dyDescent="0.2">
      <c r="G241" s="618"/>
      <c r="H241" s="427"/>
      <c r="I241" s="427"/>
      <c r="J241" s="427"/>
      <c r="K241" s="427"/>
      <c r="L241" s="607"/>
      <c r="M241" s="607"/>
      <c r="N241" s="607"/>
      <c r="O241" s="607"/>
      <c r="P241" s="607"/>
    </row>
    <row r="242" spans="1:16" x14ac:dyDescent="0.2">
      <c r="F242" s="427"/>
      <c r="G242" s="483"/>
      <c r="H242" s="483"/>
      <c r="I242" s="483"/>
      <c r="J242" s="483"/>
      <c r="K242" s="483"/>
      <c r="L242" s="607"/>
      <c r="M242" s="607"/>
      <c r="N242" s="607"/>
      <c r="O242" s="607"/>
      <c r="P242" s="607"/>
    </row>
    <row r="243" spans="1:16" x14ac:dyDescent="0.2">
      <c r="A243" s="623"/>
      <c r="B243" s="477"/>
      <c r="C243" s="477"/>
      <c r="D243" s="477"/>
      <c r="E243" s="477"/>
      <c r="F243" s="477"/>
      <c r="G243" s="477"/>
      <c r="H243" s="477"/>
      <c r="I243" s="477"/>
      <c r="J243" s="624"/>
      <c r="K243" s="624"/>
      <c r="L243" s="624"/>
      <c r="M243" s="624"/>
      <c r="N243" s="624"/>
      <c r="O243" s="624"/>
      <c r="P243" s="624"/>
    </row>
    <row r="244" spans="1:16" x14ac:dyDescent="0.2">
      <c r="E244" s="483"/>
      <c r="J244" s="607"/>
      <c r="K244" s="607"/>
      <c r="L244" s="607"/>
      <c r="M244" s="607"/>
      <c r="N244" s="607"/>
      <c r="O244" s="607"/>
      <c r="P244" s="607"/>
    </row>
    <row r="245" spans="1:16" x14ac:dyDescent="0.2">
      <c r="J245" s="607"/>
      <c r="K245" s="607"/>
      <c r="L245" s="607"/>
      <c r="M245" s="607"/>
      <c r="N245" s="607"/>
      <c r="O245" s="607"/>
      <c r="P245" s="607"/>
    </row>
    <row r="246" spans="1:16" x14ac:dyDescent="0.2">
      <c r="D246" s="483"/>
      <c r="I246" s="616"/>
      <c r="J246" s="607"/>
      <c r="K246" s="607"/>
      <c r="L246" s="607"/>
      <c r="M246" s="607"/>
      <c r="N246" s="607"/>
      <c r="O246" s="607"/>
      <c r="P246" s="607"/>
    </row>
    <row r="248" spans="1:16" x14ac:dyDescent="0.2">
      <c r="B248" s="427"/>
      <c r="C248" s="480"/>
      <c r="D248" s="480"/>
      <c r="E248" s="480"/>
      <c r="F248" s="480"/>
      <c r="G248" s="480"/>
      <c r="H248" s="480"/>
      <c r="I248" s="480"/>
    </row>
    <row r="249" spans="1:16" x14ac:dyDescent="0.2">
      <c r="C249" s="459"/>
      <c r="D249" s="625"/>
      <c r="E249" s="625"/>
      <c r="F249" s="625"/>
      <c r="G249" s="625"/>
      <c r="H249" s="625"/>
      <c r="I249" s="625"/>
    </row>
    <row r="250" spans="1:16" x14ac:dyDescent="0.2">
      <c r="C250" s="459"/>
      <c r="D250" s="625"/>
      <c r="E250" s="625"/>
      <c r="F250" s="625"/>
      <c r="G250" s="625"/>
      <c r="H250" s="625"/>
      <c r="I250" s="625"/>
    </row>
    <row r="251" spans="1:16" x14ac:dyDescent="0.2">
      <c r="C251" s="459"/>
      <c r="D251" s="626"/>
      <c r="E251" s="625"/>
      <c r="F251" s="625"/>
      <c r="G251" s="625"/>
      <c r="H251" s="625"/>
      <c r="I251" s="625"/>
    </row>
    <row r="252" spans="1:16" x14ac:dyDescent="0.2">
      <c r="B252" s="427"/>
      <c r="C252" s="459"/>
      <c r="D252" s="459"/>
      <c r="H252" s="627"/>
    </row>
    <row r="253" spans="1:16" x14ac:dyDescent="0.2">
      <c r="C253" s="459"/>
      <c r="D253" s="460"/>
      <c r="E253" s="460"/>
      <c r="F253" s="460"/>
      <c r="G253" s="460"/>
      <c r="H253" s="460"/>
      <c r="I253" s="460"/>
    </row>
    <row r="254" spans="1:16" x14ac:dyDescent="0.2">
      <c r="C254" s="459"/>
      <c r="D254" s="460"/>
      <c r="E254" s="460"/>
      <c r="F254" s="460"/>
      <c r="G254" s="460"/>
      <c r="H254" s="460"/>
      <c r="I254" s="460"/>
    </row>
    <row r="255" spans="1:16" x14ac:dyDescent="0.2">
      <c r="C255" s="459"/>
      <c r="D255" s="460"/>
      <c r="E255" s="460"/>
      <c r="F255" s="460"/>
      <c r="G255" s="460"/>
      <c r="H255" s="460"/>
      <c r="I255" s="460"/>
    </row>
    <row r="256" spans="1:16" x14ac:dyDescent="0.2">
      <c r="C256" s="459"/>
      <c r="D256" s="460"/>
      <c r="E256" s="460"/>
      <c r="F256" s="460"/>
      <c r="G256" s="460"/>
      <c r="H256" s="460"/>
      <c r="I256" s="460"/>
    </row>
    <row r="257" spans="2:16" x14ac:dyDescent="0.2">
      <c r="C257" s="459"/>
      <c r="D257" s="460"/>
      <c r="E257" s="460"/>
      <c r="F257" s="460"/>
      <c r="G257" s="460"/>
      <c r="H257" s="460"/>
      <c r="I257" s="460"/>
    </row>
    <row r="258" spans="2:16" x14ac:dyDescent="0.2">
      <c r="C258" s="459"/>
      <c r="D258" s="460"/>
      <c r="E258" s="460"/>
      <c r="F258" s="460"/>
      <c r="G258" s="460"/>
      <c r="H258" s="460"/>
      <c r="I258" s="460"/>
    </row>
    <row r="259" spans="2:16" x14ac:dyDescent="0.2">
      <c r="B259" s="427"/>
      <c r="C259" s="459"/>
      <c r="D259" s="459"/>
    </row>
    <row r="260" spans="2:16" x14ac:dyDescent="0.2">
      <c r="C260" s="459"/>
      <c r="D260" s="460"/>
      <c r="E260" s="460"/>
      <c r="F260" s="460"/>
      <c r="G260" s="460"/>
      <c r="H260" s="460"/>
      <c r="I260" s="460"/>
    </row>
    <row r="261" spans="2:16" x14ac:dyDescent="0.2">
      <c r="C261" s="459"/>
      <c r="D261" s="460"/>
      <c r="E261" s="460"/>
      <c r="F261" s="460"/>
      <c r="G261" s="460"/>
      <c r="H261" s="460"/>
      <c r="I261" s="460"/>
    </row>
    <row r="262" spans="2:16" x14ac:dyDescent="0.2">
      <c r="B262" s="427"/>
      <c r="C262" s="459"/>
      <c r="D262" s="459"/>
    </row>
    <row r="263" spans="2:16" x14ac:dyDescent="0.2">
      <c r="C263" s="459"/>
      <c r="D263" s="628"/>
      <c r="E263" s="460"/>
      <c r="F263" s="460"/>
      <c r="G263" s="460"/>
      <c r="H263" s="460"/>
      <c r="I263" s="460"/>
    </row>
    <row r="264" spans="2:16" x14ac:dyDescent="0.2">
      <c r="C264" s="459"/>
      <c r="D264" s="628"/>
      <c r="E264" s="629"/>
      <c r="F264" s="629"/>
      <c r="G264" s="629"/>
      <c r="H264" s="629"/>
      <c r="I264" s="629"/>
    </row>
    <row r="266" spans="2:16" x14ac:dyDescent="0.2">
      <c r="B266" s="427"/>
      <c r="C266" s="459"/>
      <c r="D266" s="480"/>
      <c r="E266" s="480"/>
      <c r="F266" s="480"/>
      <c r="G266" s="480"/>
      <c r="H266" s="480"/>
      <c r="I266" s="480"/>
      <c r="J266" s="607"/>
      <c r="K266" s="607"/>
      <c r="L266" s="607"/>
      <c r="M266" s="607"/>
      <c r="N266" s="607"/>
      <c r="O266" s="607"/>
      <c r="P266" s="607"/>
    </row>
    <row r="267" spans="2:16" x14ac:dyDescent="0.2">
      <c r="B267" s="427"/>
      <c r="C267" s="459"/>
      <c r="D267" s="459"/>
      <c r="E267" s="630"/>
      <c r="F267" s="427"/>
      <c r="G267" s="427"/>
      <c r="H267" s="427"/>
      <c r="I267" s="427"/>
      <c r="L267" s="427"/>
      <c r="N267" s="614"/>
      <c r="O267" s="614"/>
      <c r="P267" s="614"/>
    </row>
    <row r="268" spans="2:16" x14ac:dyDescent="0.2">
      <c r="B268" s="427"/>
      <c r="C268" s="459"/>
      <c r="D268" s="459"/>
      <c r="E268" s="589"/>
      <c r="F268" s="589"/>
      <c r="G268" s="589"/>
      <c r="H268" s="589"/>
      <c r="I268" s="589"/>
    </row>
    <row r="269" spans="2:16" x14ac:dyDescent="0.2">
      <c r="C269" s="459"/>
      <c r="D269" s="459"/>
      <c r="E269" s="460"/>
      <c r="F269" s="460"/>
      <c r="G269" s="460"/>
      <c r="H269" s="460"/>
      <c r="I269" s="460"/>
      <c r="N269" s="616"/>
      <c r="O269" s="616"/>
      <c r="P269" s="616"/>
    </row>
    <row r="270" spans="2:16" x14ac:dyDescent="0.2">
      <c r="C270" s="459"/>
      <c r="D270" s="459"/>
      <c r="E270" s="460"/>
      <c r="F270" s="460"/>
      <c r="G270" s="460"/>
      <c r="H270" s="460"/>
      <c r="I270" s="460"/>
      <c r="L270" s="427"/>
    </row>
    <row r="271" spans="2:16" x14ac:dyDescent="0.2">
      <c r="C271" s="459"/>
      <c r="D271" s="459"/>
      <c r="E271" s="460"/>
      <c r="F271" s="460"/>
      <c r="G271" s="460"/>
      <c r="H271" s="460"/>
      <c r="I271" s="460"/>
      <c r="L271" s="480"/>
    </row>
    <row r="272" spans="2:16" x14ac:dyDescent="0.2">
      <c r="C272" s="459"/>
      <c r="D272" s="459"/>
      <c r="E272" s="460"/>
      <c r="F272" s="460"/>
      <c r="G272" s="460"/>
      <c r="H272" s="460"/>
      <c r="I272" s="460"/>
      <c r="L272" s="480"/>
    </row>
    <row r="273" spans="2:12" x14ac:dyDescent="0.2">
      <c r="C273" s="459"/>
      <c r="D273" s="459"/>
      <c r="E273" s="631"/>
      <c r="F273" s="631"/>
      <c r="G273" s="631"/>
      <c r="H273" s="631"/>
      <c r="I273" s="631"/>
      <c r="L273" s="480"/>
    </row>
    <row r="274" spans="2:12" x14ac:dyDescent="0.2">
      <c r="B274" s="427"/>
      <c r="C274" s="459"/>
      <c r="D274" s="459"/>
      <c r="E274" s="589"/>
      <c r="F274" s="589"/>
      <c r="G274" s="589"/>
      <c r="H274" s="589"/>
      <c r="I274" s="589"/>
      <c r="L274" s="480"/>
    </row>
    <row r="275" spans="2:12" x14ac:dyDescent="0.2">
      <c r="C275" s="459"/>
      <c r="D275" s="459"/>
      <c r="E275" s="460"/>
      <c r="F275" s="460"/>
      <c r="G275" s="460"/>
      <c r="H275" s="460"/>
      <c r="I275" s="460"/>
    </row>
    <row r="276" spans="2:12" x14ac:dyDescent="0.2">
      <c r="C276" s="459"/>
      <c r="D276" s="459"/>
      <c r="E276" s="460"/>
      <c r="F276" s="460"/>
      <c r="G276" s="460"/>
      <c r="H276" s="460"/>
      <c r="I276" s="460"/>
    </row>
    <row r="277" spans="2:12" x14ac:dyDescent="0.2">
      <c r="C277" s="459"/>
      <c r="D277" s="459"/>
      <c r="E277" s="460"/>
      <c r="F277" s="460"/>
      <c r="G277" s="460"/>
      <c r="H277" s="460"/>
      <c r="I277" s="460"/>
    </row>
    <row r="278" spans="2:12" x14ac:dyDescent="0.2">
      <c r="C278" s="459"/>
      <c r="D278" s="459"/>
      <c r="E278" s="460"/>
      <c r="F278" s="460"/>
      <c r="G278" s="460"/>
      <c r="H278" s="460"/>
      <c r="I278" s="460"/>
    </row>
    <row r="279" spans="2:12" x14ac:dyDescent="0.2">
      <c r="C279" s="459"/>
      <c r="D279" s="459"/>
      <c r="E279" s="460"/>
      <c r="F279" s="460"/>
      <c r="G279" s="460"/>
      <c r="H279" s="460"/>
      <c r="I279" s="460"/>
    </row>
    <row r="280" spans="2:12" x14ac:dyDescent="0.2">
      <c r="B280" s="427"/>
      <c r="C280" s="459"/>
      <c r="D280" s="459"/>
      <c r="E280" s="589"/>
      <c r="F280" s="589"/>
      <c r="G280" s="589"/>
      <c r="H280" s="589"/>
      <c r="I280" s="589"/>
    </row>
    <row r="281" spans="2:12" x14ac:dyDescent="0.2">
      <c r="C281" s="459"/>
      <c r="D281" s="628"/>
      <c r="E281" s="628"/>
      <c r="F281" s="628"/>
      <c r="G281" s="628"/>
      <c r="H281" s="628"/>
      <c r="I281" s="628"/>
    </row>
    <row r="282" spans="2:12" x14ac:dyDescent="0.2">
      <c r="C282" s="459"/>
      <c r="D282" s="628"/>
      <c r="E282" s="628"/>
      <c r="F282" s="628"/>
      <c r="G282" s="628"/>
      <c r="H282" s="628"/>
      <c r="I282" s="628"/>
    </row>
    <row r="283" spans="2:12" x14ac:dyDescent="0.2">
      <c r="B283" s="447"/>
      <c r="C283" s="475"/>
      <c r="D283" s="475"/>
      <c r="E283" s="632"/>
      <c r="F283" s="632"/>
      <c r="G283" s="632"/>
      <c r="H283" s="632"/>
      <c r="I283" s="632"/>
    </row>
    <row r="284" spans="2:12" x14ac:dyDescent="0.2">
      <c r="B284" s="633"/>
      <c r="C284" s="447"/>
      <c r="D284" s="447"/>
      <c r="E284" s="634"/>
      <c r="F284" s="634"/>
      <c r="G284" s="634"/>
      <c r="H284" s="634"/>
      <c r="I284" s="634"/>
    </row>
  </sheetData>
  <mergeCells count="8">
    <mergeCell ref="B236:C236"/>
    <mergeCell ref="N236:P236"/>
    <mergeCell ref="B2:I2"/>
    <mergeCell ref="B3:I3"/>
    <mergeCell ref="B4:I4"/>
    <mergeCell ref="B196:I196"/>
    <mergeCell ref="B197:I197"/>
    <mergeCell ref="B198:I198"/>
  </mergeCells>
  <dataValidations disablePrompts="1" count="1">
    <dataValidation type="list" allowBlank="1" showInputMessage="1" showErrorMessage="1" sqref="K29:K32 K35:K38 K49:K51 K63:K68" xr:uid="{00000000-0002-0000-0F00-000000000000}">
      <formula1>$M$29:$M$30</formula1>
    </dataValidation>
  </dataValidations>
  <pageMargins left="0.70866141732283472" right="0.70866141732283472" top="0.74803149606299213" bottom="0.74803149606299213" header="0.31496062992125984" footer="0.31496062992125984"/>
  <pageSetup paperSize="5" fitToHeight="0" orientation="landscape" r:id="rId1"/>
  <rowBreaks count="3" manualBreakCount="3">
    <brk id="57" max="16383" man="1"/>
    <brk id="194" max="16383" man="1"/>
    <brk id="2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-0.249977111117893"/>
  </sheetPr>
  <dimension ref="B2:XFD282"/>
  <sheetViews>
    <sheetView showGridLines="0" topLeftCell="A175" zoomScale="145" zoomScaleNormal="145" workbookViewId="0">
      <selection activeCell="E166" sqref="E166"/>
    </sheetView>
  </sheetViews>
  <sheetFormatPr baseColWidth="10" defaultColWidth="11.42578125" defaultRowHeight="12.75" outlineLevelRow="2" x14ac:dyDescent="0.2"/>
  <cols>
    <col min="1" max="1" width="3.5703125" style="890" customWidth="1"/>
    <col min="2" max="2" width="57.42578125" style="890" customWidth="1"/>
    <col min="3" max="8" width="13.42578125" style="890" customWidth="1"/>
    <col min="9" max="9" width="12.85546875" style="890" customWidth="1"/>
    <col min="10" max="10" width="14.42578125" style="890" bestFit="1" customWidth="1"/>
    <col min="11" max="16384" width="11.42578125" style="890"/>
  </cols>
  <sheetData>
    <row r="2" spans="2:8" s="892" customFormat="1" x14ac:dyDescent="0.2">
      <c r="B2" s="891" t="s">
        <v>457</v>
      </c>
    </row>
    <row r="3" spans="2:8" x14ac:dyDescent="0.2">
      <c r="B3" s="938" t="s">
        <v>254</v>
      </c>
      <c r="C3" s="939"/>
      <c r="D3" s="939"/>
      <c r="E3" s="939"/>
      <c r="F3" s="939"/>
      <c r="G3" s="939"/>
      <c r="H3" s="939"/>
    </row>
    <row r="5" spans="2:8" x14ac:dyDescent="0.2">
      <c r="B5" s="940" t="s">
        <v>458</v>
      </c>
      <c r="C5" s="891">
        <v>2016</v>
      </c>
      <c r="D5" s="891">
        <v>2017</v>
      </c>
      <c r="E5" s="891">
        <v>2018</v>
      </c>
      <c r="F5" s="891">
        <v>2019</v>
      </c>
      <c r="G5" s="891">
        <v>2020</v>
      </c>
      <c r="H5" s="891">
        <v>2021</v>
      </c>
    </row>
    <row r="6" spans="2:8" x14ac:dyDescent="0.2">
      <c r="B6" s="890" t="s">
        <v>459</v>
      </c>
      <c r="C6" s="941">
        <v>3.4838098558625408E-2</v>
      </c>
      <c r="D6" s="941">
        <v>3.4838098558625408E-2</v>
      </c>
      <c r="E6" s="941">
        <v>3.4838098558625408E-2</v>
      </c>
      <c r="F6" s="941">
        <v>3.4838098558625408E-2</v>
      </c>
      <c r="G6" s="941">
        <v>3.4838098558625408E-2</v>
      </c>
      <c r="H6" s="941">
        <v>3.4838098558625408E-2</v>
      </c>
    </row>
    <row r="7" spans="2:8" x14ac:dyDescent="0.2">
      <c r="B7" s="890" t="s">
        <v>460</v>
      </c>
      <c r="C7" s="942"/>
      <c r="D7" s="943">
        <v>367674767.96403384</v>
      </c>
      <c r="E7" s="943">
        <v>367674767.96403384</v>
      </c>
      <c r="F7" s="943">
        <v>367674767.96403384</v>
      </c>
      <c r="G7" s="943">
        <v>367674767.96403384</v>
      </c>
      <c r="H7" s="943">
        <v>367674767.96403384</v>
      </c>
    </row>
    <row r="8" spans="2:8" x14ac:dyDescent="0.2">
      <c r="B8" s="890" t="s">
        <v>461</v>
      </c>
      <c r="C8" s="942"/>
      <c r="D8" s="943"/>
      <c r="E8" s="943"/>
      <c r="F8" s="943"/>
      <c r="G8" s="943"/>
      <c r="H8" s="943"/>
    </row>
    <row r="9" spans="2:8" x14ac:dyDescent="0.2">
      <c r="B9" s="890" t="s">
        <v>462</v>
      </c>
      <c r="C9" s="944"/>
      <c r="D9" s="943">
        <v>-12809089.803850738</v>
      </c>
      <c r="E9" s="943">
        <v>-12809089.803850738</v>
      </c>
      <c r="F9" s="943">
        <v>-12809089.803850738</v>
      </c>
      <c r="G9" s="943">
        <v>-12809089.803850738</v>
      </c>
      <c r="H9" s="943">
        <v>-12809089.803850738</v>
      </c>
    </row>
    <row r="10" spans="2:8" x14ac:dyDescent="0.2">
      <c r="B10" s="890" t="s">
        <v>463</v>
      </c>
      <c r="C10" s="945">
        <v>367674767.96403384</v>
      </c>
      <c r="D10" s="943">
        <v>367674767.96403384</v>
      </c>
      <c r="E10" s="943">
        <v>367674767.96403384</v>
      </c>
      <c r="F10" s="943">
        <v>367674767.96403384</v>
      </c>
      <c r="G10" s="943">
        <v>367674767.96403384</v>
      </c>
      <c r="H10" s="943">
        <v>367674767.96403384</v>
      </c>
    </row>
    <row r="11" spans="2:8" x14ac:dyDescent="0.2">
      <c r="B11" s="890" t="s">
        <v>464</v>
      </c>
      <c r="C11" s="945">
        <v>195204624.1240339</v>
      </c>
      <c r="D11" s="943">
        <v>182395534.32018313</v>
      </c>
      <c r="E11" s="943">
        <v>169586444.51633239</v>
      </c>
      <c r="F11" s="943">
        <v>156777354.71248165</v>
      </c>
      <c r="G11" s="943">
        <v>143968264.90863091</v>
      </c>
      <c r="H11" s="943">
        <v>131159175.10478017</v>
      </c>
    </row>
    <row r="12" spans="2:8" x14ac:dyDescent="0.2">
      <c r="B12" s="890" t="s">
        <v>465</v>
      </c>
      <c r="C12" s="945">
        <v>-172470143.84</v>
      </c>
      <c r="D12" s="943">
        <v>-185279233.64385074</v>
      </c>
      <c r="E12" s="943">
        <v>-198088323.44770148</v>
      </c>
      <c r="F12" s="943">
        <v>-210897413.25155222</v>
      </c>
      <c r="G12" s="943">
        <v>-223706503.05540296</v>
      </c>
      <c r="H12" s="943">
        <v>-236515592.8592537</v>
      </c>
    </row>
    <row r="13" spans="2:8" x14ac:dyDescent="0.2">
      <c r="B13" s="890" t="s">
        <v>466</v>
      </c>
      <c r="C13" s="943">
        <v>195204625</v>
      </c>
      <c r="D13" s="943">
        <v>182395535</v>
      </c>
      <c r="E13" s="943">
        <v>169586445</v>
      </c>
      <c r="F13" s="943">
        <v>156777355</v>
      </c>
      <c r="G13" s="943">
        <v>143968265</v>
      </c>
      <c r="H13" s="943">
        <v>131159176</v>
      </c>
    </row>
    <row r="14" spans="2:8" x14ac:dyDescent="0.2">
      <c r="C14" s="943"/>
      <c r="D14" s="943"/>
      <c r="E14" s="943"/>
      <c r="F14" s="943"/>
      <c r="G14" s="943"/>
      <c r="H14" s="943"/>
    </row>
    <row r="15" spans="2:8" hidden="1" outlineLevel="1" x14ac:dyDescent="0.2">
      <c r="B15" s="940" t="s">
        <v>467</v>
      </c>
      <c r="C15" s="891">
        <v>2016</v>
      </c>
      <c r="D15" s="891">
        <v>2017</v>
      </c>
      <c r="E15" s="891">
        <v>2018</v>
      </c>
      <c r="F15" s="891">
        <v>2019</v>
      </c>
      <c r="G15" s="891">
        <v>2020</v>
      </c>
      <c r="H15" s="891">
        <v>2021</v>
      </c>
    </row>
    <row r="16" spans="2:8" hidden="1" outlineLevel="1" x14ac:dyDescent="0.2">
      <c r="B16" s="890" t="s">
        <v>459</v>
      </c>
      <c r="C16" s="946">
        <v>3.4838098558625408E-2</v>
      </c>
      <c r="D16" s="946">
        <v>3.4838098558625408E-2</v>
      </c>
      <c r="E16" s="946">
        <v>3.4838098558625408E-2</v>
      </c>
      <c r="F16" s="946">
        <v>3.4838098558625408E-2</v>
      </c>
      <c r="G16" s="946">
        <v>3.4838098558625408E-2</v>
      </c>
      <c r="H16" s="946">
        <v>3.4838098558625408E-2</v>
      </c>
    </row>
    <row r="17" spans="2:10" hidden="1" outlineLevel="1" x14ac:dyDescent="0.2">
      <c r="B17" s="890" t="s">
        <v>460</v>
      </c>
      <c r="C17" s="943"/>
      <c r="D17" s="943">
        <v>0</v>
      </c>
      <c r="E17" s="943">
        <v>0</v>
      </c>
      <c r="F17" s="943">
        <v>0</v>
      </c>
      <c r="G17" s="943">
        <v>0</v>
      </c>
      <c r="H17" s="943">
        <v>0</v>
      </c>
    </row>
    <row r="18" spans="2:10" hidden="1" outlineLevel="1" x14ac:dyDescent="0.2">
      <c r="B18" s="890" t="s">
        <v>461</v>
      </c>
      <c r="C18" s="943"/>
      <c r="D18" s="943"/>
      <c r="E18" s="943"/>
      <c r="F18" s="943"/>
      <c r="G18" s="943"/>
      <c r="H18" s="943"/>
    </row>
    <row r="19" spans="2:10" hidden="1" outlineLevel="1" x14ac:dyDescent="0.2">
      <c r="B19" s="890" t="s">
        <v>462</v>
      </c>
      <c r="C19" s="943"/>
      <c r="D19" s="943">
        <v>0</v>
      </c>
      <c r="E19" s="943">
        <v>0</v>
      </c>
      <c r="F19" s="943">
        <v>0</v>
      </c>
      <c r="G19" s="943">
        <v>0</v>
      </c>
      <c r="H19" s="943">
        <v>0</v>
      </c>
    </row>
    <row r="20" spans="2:10" hidden="1" outlineLevel="1" x14ac:dyDescent="0.2">
      <c r="B20" s="890" t="s">
        <v>463</v>
      </c>
      <c r="C20" s="945">
        <v>0</v>
      </c>
      <c r="D20" s="943">
        <v>0</v>
      </c>
      <c r="E20" s="943">
        <v>0</v>
      </c>
      <c r="F20" s="943">
        <v>0</v>
      </c>
      <c r="G20" s="943">
        <v>0</v>
      </c>
      <c r="H20" s="943">
        <v>0</v>
      </c>
    </row>
    <row r="21" spans="2:10" hidden="1" outlineLevel="1" x14ac:dyDescent="0.2">
      <c r="B21" s="890" t="s">
        <v>464</v>
      </c>
      <c r="C21" s="943">
        <v>0</v>
      </c>
      <c r="D21" s="943">
        <v>0</v>
      </c>
      <c r="E21" s="943">
        <v>0</v>
      </c>
      <c r="F21" s="943">
        <v>0</v>
      </c>
      <c r="G21" s="943">
        <v>0</v>
      </c>
      <c r="H21" s="943">
        <v>0</v>
      </c>
    </row>
    <row r="22" spans="2:10" hidden="1" outlineLevel="1" x14ac:dyDescent="0.2">
      <c r="B22" s="890" t="s">
        <v>465</v>
      </c>
      <c r="C22" s="943">
        <v>0</v>
      </c>
      <c r="D22" s="943">
        <v>0</v>
      </c>
      <c r="E22" s="943">
        <v>0</v>
      </c>
      <c r="F22" s="943">
        <v>0</v>
      </c>
      <c r="G22" s="943">
        <v>0</v>
      </c>
      <c r="H22" s="943">
        <v>0</v>
      </c>
    </row>
    <row r="23" spans="2:10" hidden="1" outlineLevel="1" x14ac:dyDescent="0.2">
      <c r="B23" s="890" t="s">
        <v>466</v>
      </c>
      <c r="C23" s="943"/>
      <c r="D23" s="943">
        <v>0</v>
      </c>
      <c r="E23" s="943">
        <v>0</v>
      </c>
      <c r="F23" s="943">
        <v>0</v>
      </c>
      <c r="G23" s="943">
        <v>0</v>
      </c>
      <c r="H23" s="943">
        <v>0</v>
      </c>
    </row>
    <row r="24" spans="2:10" hidden="1" outlineLevel="1" x14ac:dyDescent="0.2">
      <c r="C24" s="943"/>
      <c r="D24" s="943"/>
      <c r="E24" s="943"/>
      <c r="F24" s="943"/>
      <c r="G24" s="943"/>
      <c r="H24" s="943"/>
    </row>
    <row r="25" spans="2:10" hidden="1" outlineLevel="1" x14ac:dyDescent="0.2">
      <c r="B25" s="940" t="s">
        <v>468</v>
      </c>
      <c r="C25" s="891">
        <v>2016</v>
      </c>
      <c r="D25" s="891">
        <v>2017</v>
      </c>
      <c r="E25" s="891">
        <v>2018</v>
      </c>
      <c r="F25" s="891">
        <v>2019</v>
      </c>
      <c r="G25" s="891">
        <v>2020</v>
      </c>
      <c r="H25" s="891">
        <v>2021</v>
      </c>
    </row>
    <row r="26" spans="2:10" hidden="1" outlineLevel="1" x14ac:dyDescent="0.2">
      <c r="B26" s="947" t="s">
        <v>469</v>
      </c>
      <c r="C26" s="943"/>
      <c r="D26" s="945">
        <v>345480168</v>
      </c>
      <c r="E26" s="945">
        <v>0</v>
      </c>
      <c r="F26" s="948">
        <v>0</v>
      </c>
      <c r="G26" s="948">
        <v>0</v>
      </c>
      <c r="H26" s="948">
        <v>0</v>
      </c>
      <c r="J26" s="943"/>
    </row>
    <row r="27" spans="2:10" hidden="1" outlineLevel="1" x14ac:dyDescent="0.2">
      <c r="B27" s="890" t="s">
        <v>470</v>
      </c>
      <c r="C27" s="943"/>
      <c r="D27" s="945">
        <v>173114761.68767121</v>
      </c>
      <c r="E27" s="945">
        <v>0</v>
      </c>
      <c r="F27" s="945">
        <v>0</v>
      </c>
      <c r="G27" s="945">
        <v>0</v>
      </c>
      <c r="H27" s="945">
        <v>0</v>
      </c>
      <c r="J27" s="943"/>
    </row>
    <row r="28" spans="2:10" hidden="1" outlineLevel="1" x14ac:dyDescent="0.2">
      <c r="B28" s="947" t="s">
        <v>471</v>
      </c>
      <c r="C28" s="943"/>
      <c r="D28" s="946">
        <v>3.4838098558625408E-2</v>
      </c>
      <c r="E28" s="946">
        <v>3.4838098558625408E-2</v>
      </c>
      <c r="F28" s="946">
        <v>3.4838098558625408E-2</v>
      </c>
      <c r="G28" s="946">
        <v>3.4838098558625408E-2</v>
      </c>
      <c r="H28" s="946">
        <v>3.4838098558625408E-2</v>
      </c>
      <c r="J28" s="943"/>
    </row>
    <row r="29" spans="2:10" hidden="1" outlineLevel="1" x14ac:dyDescent="0.2">
      <c r="B29" s="947" t="s">
        <v>461</v>
      </c>
      <c r="C29" s="943"/>
      <c r="D29" s="943">
        <v>0</v>
      </c>
      <c r="E29" s="943">
        <v>339449178.87037194</v>
      </c>
      <c r="F29" s="943">
        <v>327413306.72753745</v>
      </c>
      <c r="G29" s="943">
        <v>315377434.58470297</v>
      </c>
      <c r="H29" s="943">
        <v>303341562.44186848</v>
      </c>
    </row>
    <row r="30" spans="2:10" hidden="1" outlineLevel="1" x14ac:dyDescent="0.2">
      <c r="B30" s="947" t="s">
        <v>462</v>
      </c>
      <c r="C30" s="943"/>
      <c r="D30" s="943">
        <v>-6030989.1296280399</v>
      </c>
      <c r="E30" s="943">
        <v>-12035872.142834464</v>
      </c>
      <c r="F30" s="943">
        <v>-12035872.142834464</v>
      </c>
      <c r="G30" s="943">
        <v>-12035872.142834464</v>
      </c>
      <c r="H30" s="943">
        <v>-12035872.142834464</v>
      </c>
    </row>
    <row r="31" spans="2:10" hidden="1" outlineLevel="1" x14ac:dyDescent="0.2">
      <c r="B31" s="947" t="s">
        <v>464</v>
      </c>
      <c r="C31" s="943"/>
      <c r="D31" s="943">
        <v>339449178.87037194</v>
      </c>
      <c r="E31" s="943">
        <v>327413306.72753745</v>
      </c>
      <c r="F31" s="943">
        <v>315377434.58470297</v>
      </c>
      <c r="G31" s="943">
        <v>303341562.44186848</v>
      </c>
      <c r="H31" s="943">
        <v>291305690.299034</v>
      </c>
    </row>
    <row r="32" spans="2:10" hidden="1" outlineLevel="1" x14ac:dyDescent="0.2">
      <c r="B32" s="947" t="s">
        <v>463</v>
      </c>
      <c r="C32" s="943"/>
      <c r="D32" s="943">
        <v>345480168</v>
      </c>
      <c r="E32" s="943">
        <v>345480168</v>
      </c>
      <c r="F32" s="943">
        <v>345480168</v>
      </c>
      <c r="G32" s="943">
        <v>345480168</v>
      </c>
      <c r="H32" s="943">
        <v>345480168</v>
      </c>
    </row>
    <row r="33" spans="2:8" hidden="1" outlineLevel="1" x14ac:dyDescent="0.2">
      <c r="C33" s="943"/>
      <c r="D33" s="949"/>
      <c r="E33" s="943"/>
      <c r="F33" s="943"/>
      <c r="G33" s="943"/>
      <c r="H33" s="943"/>
    </row>
    <row r="34" spans="2:8" collapsed="1" x14ac:dyDescent="0.2">
      <c r="B34" s="940" t="s">
        <v>654</v>
      </c>
      <c r="C34" s="891">
        <v>2016</v>
      </c>
      <c r="D34" s="891">
        <v>2017</v>
      </c>
      <c r="E34" s="891">
        <v>2018</v>
      </c>
      <c r="F34" s="891">
        <v>2019</v>
      </c>
      <c r="G34" s="891">
        <v>2020</v>
      </c>
      <c r="H34" s="891">
        <v>2021</v>
      </c>
    </row>
    <row r="35" spans="2:8" x14ac:dyDescent="0.2">
      <c r="B35" s="950" t="s">
        <v>459</v>
      </c>
      <c r="C35" s="941">
        <v>5.8382511060031415E-2</v>
      </c>
      <c r="D35" s="941">
        <v>5.8382511060031415E-2</v>
      </c>
      <c r="E35" s="941">
        <v>5.8382511060031415E-2</v>
      </c>
      <c r="F35" s="941">
        <v>5.8382511060031415E-2</v>
      </c>
      <c r="G35" s="941">
        <v>5.8382511060031415E-2</v>
      </c>
      <c r="H35" s="941">
        <v>5.8382511060031415E-2</v>
      </c>
    </row>
    <row r="36" spans="2:8" x14ac:dyDescent="0.2">
      <c r="B36" s="950" t="s">
        <v>473</v>
      </c>
      <c r="C36" s="951">
        <v>0.02</v>
      </c>
      <c r="D36" s="951">
        <v>0.02</v>
      </c>
      <c r="E36" s="951">
        <v>0.02</v>
      </c>
      <c r="F36" s="951">
        <v>0.02</v>
      </c>
      <c r="G36" s="951">
        <v>0.02</v>
      </c>
      <c r="H36" s="951">
        <v>0.02</v>
      </c>
    </row>
    <row r="37" spans="2:8" x14ac:dyDescent="0.2">
      <c r="B37" s="950" t="s">
        <v>460</v>
      </c>
      <c r="C37" s="942"/>
      <c r="D37" s="943">
        <v>45644352</v>
      </c>
      <c r="E37" s="943">
        <v>45644352</v>
      </c>
      <c r="F37" s="943">
        <v>45644352</v>
      </c>
      <c r="G37" s="943">
        <v>45644352</v>
      </c>
      <c r="H37" s="943">
        <v>45644352</v>
      </c>
    </row>
    <row r="38" spans="2:8" x14ac:dyDescent="0.2">
      <c r="B38" s="950" t="s">
        <v>461</v>
      </c>
      <c r="C38" s="942"/>
      <c r="D38" s="943">
        <v>9055342</v>
      </c>
      <c r="E38" s="943">
        <v>6390510.1145320311</v>
      </c>
      <c r="F38" s="943">
        <v>3725678.2290640622</v>
      </c>
      <c r="G38" s="943">
        <v>1060846.3435960934</v>
      </c>
      <c r="H38" s="943">
        <v>-1603985.5418718755</v>
      </c>
    </row>
    <row r="39" spans="2:8" x14ac:dyDescent="0.2">
      <c r="B39" s="950" t="s">
        <v>462</v>
      </c>
      <c r="C39" s="942"/>
      <c r="D39" s="943">
        <v>-2664831.885467967</v>
      </c>
      <c r="E39" s="943">
        <v>-2664831.885467967</v>
      </c>
      <c r="F39" s="943">
        <v>-2664831.885467967</v>
      </c>
      <c r="G39" s="943">
        <v>-2664831.885467967</v>
      </c>
      <c r="H39" s="943">
        <v>-2664831.885467967</v>
      </c>
    </row>
    <row r="40" spans="2:8" x14ac:dyDescent="0.2">
      <c r="B40" s="950" t="s">
        <v>474</v>
      </c>
      <c r="C40" s="942"/>
      <c r="D40" s="943"/>
      <c r="E40" s="943"/>
      <c r="F40" s="943"/>
      <c r="G40" s="943"/>
      <c r="H40" s="943"/>
    </row>
    <row r="41" spans="2:8" x14ac:dyDescent="0.2">
      <c r="B41" s="950" t="s">
        <v>463</v>
      </c>
      <c r="C41" s="943">
        <v>45644352</v>
      </c>
      <c r="D41" s="943">
        <v>45644352</v>
      </c>
      <c r="E41" s="943">
        <v>45644352</v>
      </c>
      <c r="F41" s="943">
        <v>45644352</v>
      </c>
      <c r="G41" s="943">
        <v>45644352</v>
      </c>
      <c r="H41" s="943">
        <v>45644352</v>
      </c>
    </row>
    <row r="42" spans="2:8" x14ac:dyDescent="0.2">
      <c r="B42" s="950" t="s">
        <v>465</v>
      </c>
      <c r="C42" s="943">
        <v>-36589010</v>
      </c>
      <c r="D42" s="943">
        <v>-39253841.885467969</v>
      </c>
      <c r="E42" s="943">
        <v>-41918673.770935938</v>
      </c>
      <c r="F42" s="943">
        <v>-44583505.656403907</v>
      </c>
      <c r="G42" s="943">
        <v>-47248337.541871876</v>
      </c>
      <c r="H42" s="943">
        <v>-49913169.427339844</v>
      </c>
    </row>
    <row r="43" spans="2:8" x14ac:dyDescent="0.2">
      <c r="B43" s="950" t="s">
        <v>464</v>
      </c>
      <c r="C43" s="943">
        <v>9055342</v>
      </c>
      <c r="D43" s="943">
        <v>6390510.1145320311</v>
      </c>
      <c r="E43" s="943">
        <v>3725678.2290640622</v>
      </c>
      <c r="F43" s="943">
        <v>1060846.3435960934</v>
      </c>
      <c r="G43" s="943">
        <v>-1603985.5418718755</v>
      </c>
      <c r="H43" s="943">
        <v>-4268817.4273398444</v>
      </c>
    </row>
    <row r="44" spans="2:8" x14ac:dyDescent="0.2">
      <c r="B44" s="950"/>
      <c r="C44" s="943"/>
      <c r="D44" s="943"/>
      <c r="E44" s="943"/>
      <c r="F44" s="943"/>
      <c r="G44" s="943"/>
      <c r="H44" s="943"/>
    </row>
    <row r="45" spans="2:8" x14ac:dyDescent="0.2">
      <c r="B45" s="940" t="s">
        <v>655</v>
      </c>
      <c r="C45" s="891">
        <v>2016</v>
      </c>
      <c r="D45" s="891">
        <v>2017</v>
      </c>
      <c r="E45" s="891">
        <v>2018</v>
      </c>
      <c r="F45" s="891">
        <v>2019</v>
      </c>
      <c r="G45" s="891">
        <v>2020</v>
      </c>
      <c r="H45" s="891">
        <v>2021</v>
      </c>
    </row>
    <row r="46" spans="2:8" x14ac:dyDescent="0.2">
      <c r="B46" s="950" t="s">
        <v>459</v>
      </c>
      <c r="C46" s="952">
        <v>3.4838098558625408E-2</v>
      </c>
      <c r="D46" s="952">
        <v>3.4838098558625408E-2</v>
      </c>
      <c r="E46" s="952">
        <v>3.4838098558625408E-2</v>
      </c>
      <c r="F46" s="952">
        <v>3.4838098558625408E-2</v>
      </c>
      <c r="G46" s="952">
        <v>3.4838098558625408E-2</v>
      </c>
      <c r="H46" s="952">
        <v>3.4838098558625408E-2</v>
      </c>
    </row>
    <row r="47" spans="2:8" x14ac:dyDescent="0.2">
      <c r="B47" s="950" t="s">
        <v>473</v>
      </c>
      <c r="C47" s="951">
        <v>0.02</v>
      </c>
      <c r="D47" s="951">
        <v>0.02</v>
      </c>
      <c r="E47" s="951">
        <v>0.02</v>
      </c>
      <c r="F47" s="951">
        <v>0.02</v>
      </c>
      <c r="G47" s="951">
        <v>0.02</v>
      </c>
      <c r="H47" s="951">
        <v>0.02</v>
      </c>
    </row>
    <row r="48" spans="2:8" x14ac:dyDescent="0.2">
      <c r="B48" s="950" t="s">
        <v>460</v>
      </c>
      <c r="C48" s="942"/>
      <c r="D48" s="943">
        <v>0</v>
      </c>
      <c r="E48" s="943">
        <v>0</v>
      </c>
      <c r="F48" s="943">
        <v>0</v>
      </c>
      <c r="G48" s="943">
        <v>0</v>
      </c>
      <c r="H48" s="943">
        <v>0</v>
      </c>
    </row>
    <row r="49" spans="2:8" x14ac:dyDescent="0.2">
      <c r="B49" s="950" t="s">
        <v>461</v>
      </c>
      <c r="C49" s="942"/>
      <c r="D49" s="943">
        <v>0</v>
      </c>
      <c r="E49" s="943">
        <v>0</v>
      </c>
      <c r="F49" s="943">
        <v>0</v>
      </c>
      <c r="G49" s="943">
        <v>0</v>
      </c>
      <c r="H49" s="943">
        <v>0</v>
      </c>
    </row>
    <row r="50" spans="2:8" x14ac:dyDescent="0.2">
      <c r="B50" s="950" t="s">
        <v>462</v>
      </c>
      <c r="C50" s="942"/>
      <c r="D50" s="943">
        <v>0</v>
      </c>
      <c r="E50" s="943">
        <v>0</v>
      </c>
      <c r="F50" s="943">
        <v>0</v>
      </c>
      <c r="G50" s="943">
        <v>0</v>
      </c>
      <c r="H50" s="943">
        <v>0</v>
      </c>
    </row>
    <row r="51" spans="2:8" x14ac:dyDescent="0.2">
      <c r="B51" s="950" t="s">
        <v>474</v>
      </c>
      <c r="C51" s="942"/>
      <c r="D51" s="943"/>
      <c r="E51" s="943"/>
      <c r="F51" s="943"/>
      <c r="G51" s="943"/>
      <c r="H51" s="943"/>
    </row>
    <row r="52" spans="2:8" x14ac:dyDescent="0.2">
      <c r="B52" s="950" t="s">
        <v>463</v>
      </c>
      <c r="C52" s="943"/>
      <c r="D52" s="943">
        <v>0</v>
      </c>
      <c r="E52" s="943">
        <v>0</v>
      </c>
      <c r="F52" s="943">
        <v>0</v>
      </c>
      <c r="G52" s="943">
        <v>0</v>
      </c>
      <c r="H52" s="943">
        <v>0</v>
      </c>
    </row>
    <row r="53" spans="2:8" x14ac:dyDescent="0.2">
      <c r="B53" s="950" t="s">
        <v>465</v>
      </c>
      <c r="C53" s="943"/>
      <c r="D53" s="943">
        <v>0</v>
      </c>
      <c r="E53" s="943">
        <v>0</v>
      </c>
      <c r="F53" s="943">
        <v>0</v>
      </c>
      <c r="G53" s="943">
        <v>0</v>
      </c>
      <c r="H53" s="943">
        <v>0</v>
      </c>
    </row>
    <row r="54" spans="2:8" x14ac:dyDescent="0.2">
      <c r="B54" s="950" t="s">
        <v>464</v>
      </c>
      <c r="C54" s="943"/>
      <c r="D54" s="943">
        <v>0</v>
      </c>
      <c r="E54" s="943">
        <v>0</v>
      </c>
      <c r="F54" s="943">
        <v>0</v>
      </c>
      <c r="G54" s="943">
        <v>0</v>
      </c>
      <c r="H54" s="943">
        <v>0</v>
      </c>
    </row>
    <row r="55" spans="2:8" x14ac:dyDescent="0.2">
      <c r="B55" s="953" t="s">
        <v>476</v>
      </c>
      <c r="C55" s="943"/>
      <c r="D55" s="943"/>
      <c r="E55" s="943"/>
      <c r="F55" s="943"/>
      <c r="G55" s="943"/>
      <c r="H55" s="943"/>
    </row>
    <row r="56" spans="2:8" x14ac:dyDescent="0.2">
      <c r="B56" s="950"/>
      <c r="C56" s="943"/>
      <c r="D56" s="943"/>
      <c r="E56" s="943"/>
      <c r="F56" s="943"/>
      <c r="G56" s="943"/>
      <c r="H56" s="943"/>
    </row>
    <row r="57" spans="2:8" x14ac:dyDescent="0.2">
      <c r="B57" s="940" t="s">
        <v>477</v>
      </c>
      <c r="C57" s="891">
        <v>2016</v>
      </c>
      <c r="D57" s="891">
        <v>2017</v>
      </c>
      <c r="E57" s="891">
        <v>2018</v>
      </c>
      <c r="F57" s="891">
        <v>2019</v>
      </c>
      <c r="G57" s="891">
        <v>2020</v>
      </c>
      <c r="H57" s="891">
        <v>2021</v>
      </c>
    </row>
    <row r="58" spans="2:8" x14ac:dyDescent="0.2">
      <c r="B58" s="890" t="s">
        <v>464</v>
      </c>
      <c r="C58" s="943">
        <v>204259966.1240339</v>
      </c>
      <c r="D58" s="943">
        <v>188786044.43471515</v>
      </c>
      <c r="E58" s="943">
        <v>173312122.74539644</v>
      </c>
      <c r="F58" s="943">
        <v>157838201.05607775</v>
      </c>
      <c r="G58" s="943">
        <v>142364279.36675903</v>
      </c>
      <c r="H58" s="943">
        <v>126890357.67744032</v>
      </c>
    </row>
    <row r="59" spans="2:8" x14ac:dyDescent="0.2">
      <c r="B59" s="890" t="s">
        <v>462</v>
      </c>
      <c r="C59" s="943">
        <v>0</v>
      </c>
      <c r="D59" s="943">
        <v>-15473921.689318705</v>
      </c>
      <c r="E59" s="943">
        <v>-15473921.689318705</v>
      </c>
      <c r="F59" s="943">
        <v>-15473921.689318705</v>
      </c>
      <c r="G59" s="943">
        <v>-15473921.689318705</v>
      </c>
      <c r="H59" s="943">
        <v>-15473921.689318705</v>
      </c>
    </row>
    <row r="60" spans="2:8" x14ac:dyDescent="0.2">
      <c r="B60" s="890" t="s">
        <v>463</v>
      </c>
      <c r="C60" s="943">
        <v>413319119.96403384</v>
      </c>
      <c r="D60" s="943">
        <v>413319119.96403384</v>
      </c>
      <c r="E60" s="943">
        <v>413319119.96403384</v>
      </c>
      <c r="F60" s="943">
        <v>413319119.96403384</v>
      </c>
      <c r="G60" s="943">
        <v>413319119.96403384</v>
      </c>
      <c r="H60" s="943">
        <v>413319119.96403384</v>
      </c>
    </row>
    <row r="61" spans="2:8" x14ac:dyDescent="0.2">
      <c r="B61" s="940" t="s">
        <v>478</v>
      </c>
      <c r="C61" s="891">
        <v>2016</v>
      </c>
      <c r="D61" s="891">
        <v>2017</v>
      </c>
      <c r="E61" s="891">
        <v>2018</v>
      </c>
      <c r="F61" s="891">
        <v>2019</v>
      </c>
      <c r="G61" s="891">
        <v>2020</v>
      </c>
      <c r="H61" s="891">
        <v>2021</v>
      </c>
    </row>
    <row r="62" spans="2:8" x14ac:dyDescent="0.2">
      <c r="B62" s="890" t="s">
        <v>464</v>
      </c>
      <c r="C62" s="943">
        <v>0</v>
      </c>
      <c r="D62" s="943">
        <v>339449178.87037194</v>
      </c>
      <c r="E62" s="943">
        <v>327413306.72753745</v>
      </c>
      <c r="F62" s="943">
        <v>315377434.58470297</v>
      </c>
      <c r="G62" s="943">
        <v>303341562.44186848</v>
      </c>
      <c r="H62" s="943">
        <v>291305690.299034</v>
      </c>
    </row>
    <row r="63" spans="2:8" x14ac:dyDescent="0.2">
      <c r="B63" s="890" t="s">
        <v>462</v>
      </c>
      <c r="C63" s="943">
        <v>0</v>
      </c>
      <c r="D63" s="943">
        <v>-6030989.1296280399</v>
      </c>
      <c r="E63" s="943">
        <v>-12035872.142834464</v>
      </c>
      <c r="F63" s="943">
        <v>-12035872.142834464</v>
      </c>
      <c r="G63" s="943">
        <v>-12035872.142834464</v>
      </c>
      <c r="H63" s="943">
        <v>-12035872.142834464</v>
      </c>
    </row>
    <row r="64" spans="2:8" x14ac:dyDescent="0.2">
      <c r="B64" s="890" t="s">
        <v>463</v>
      </c>
      <c r="C64" s="943">
        <v>0</v>
      </c>
      <c r="D64" s="943">
        <v>345480168</v>
      </c>
      <c r="E64" s="943">
        <v>345480168</v>
      </c>
      <c r="F64" s="943">
        <v>345480168</v>
      </c>
      <c r="G64" s="943">
        <v>345480168</v>
      </c>
      <c r="H64" s="943">
        <v>345480168</v>
      </c>
    </row>
    <row r="65" spans="2:8" x14ac:dyDescent="0.2">
      <c r="B65" s="890" t="s">
        <v>470</v>
      </c>
      <c r="C65" s="943">
        <v>0</v>
      </c>
      <c r="D65" s="943">
        <v>173114761.68767121</v>
      </c>
      <c r="E65" s="943">
        <v>0</v>
      </c>
      <c r="F65" s="943">
        <v>0</v>
      </c>
      <c r="G65" s="943">
        <v>0</v>
      </c>
      <c r="H65" s="943">
        <v>0</v>
      </c>
    </row>
    <row r="66" spans="2:8" x14ac:dyDescent="0.2">
      <c r="C66" s="943"/>
      <c r="D66" s="943"/>
      <c r="E66" s="943"/>
      <c r="F66" s="943"/>
      <c r="G66" s="943"/>
      <c r="H66" s="943"/>
    </row>
    <row r="67" spans="2:8" s="892" customFormat="1" hidden="1" outlineLevel="1" x14ac:dyDescent="0.2">
      <c r="B67" s="891" t="s">
        <v>479</v>
      </c>
    </row>
    <row r="68" spans="2:8" hidden="1" outlineLevel="1" x14ac:dyDescent="0.2">
      <c r="C68" s="943"/>
      <c r="D68" s="943"/>
      <c r="E68" s="943"/>
      <c r="F68" s="943"/>
      <c r="G68" s="943"/>
      <c r="H68" s="943"/>
    </row>
    <row r="69" spans="2:8" hidden="1" outlineLevel="1" x14ac:dyDescent="0.2">
      <c r="B69" s="954" t="s">
        <v>480</v>
      </c>
      <c r="C69" s="955">
        <v>3.5000000000000003E-2</v>
      </c>
    </row>
    <row r="70" spans="2:8" hidden="1" outlineLevel="1" x14ac:dyDescent="0.2">
      <c r="B70" s="956" t="s">
        <v>481</v>
      </c>
    </row>
    <row r="71" spans="2:8" hidden="1" outlineLevel="1" x14ac:dyDescent="0.2">
      <c r="B71" s="957" t="s">
        <v>482</v>
      </c>
      <c r="C71" s="958">
        <v>0.7</v>
      </c>
    </row>
    <row r="72" spans="2:8" hidden="1" outlineLevel="1" x14ac:dyDescent="0.2">
      <c r="B72" s="957" t="s">
        <v>483</v>
      </c>
      <c r="C72" s="959">
        <v>0.30000000000000004</v>
      </c>
    </row>
    <row r="73" spans="2:8" hidden="1" outlineLevel="1" x14ac:dyDescent="0.2"/>
    <row r="74" spans="2:8" hidden="1" outlineLevel="1" x14ac:dyDescent="0.2">
      <c r="B74" s="960"/>
      <c r="C74" s="961">
        <v>2016</v>
      </c>
      <c r="D74" s="961">
        <v>2017</v>
      </c>
      <c r="E74" s="961">
        <v>2018</v>
      </c>
      <c r="F74" s="961">
        <v>2019</v>
      </c>
      <c r="G74" s="961">
        <v>2020</v>
      </c>
      <c r="H74" s="961">
        <v>2021</v>
      </c>
    </row>
    <row r="75" spans="2:8" hidden="1" outlineLevel="1" x14ac:dyDescent="0.2">
      <c r="B75" s="962" t="s">
        <v>484</v>
      </c>
      <c r="C75" s="942"/>
      <c r="D75" s="945">
        <v>30733000</v>
      </c>
      <c r="E75" s="945">
        <v>28577000</v>
      </c>
      <c r="F75" s="945">
        <v>328118327.46239996</v>
      </c>
      <c r="G75" s="945">
        <v>56905249.422632799</v>
      </c>
      <c r="H75" s="945">
        <v>0</v>
      </c>
    </row>
    <row r="76" spans="2:8" hidden="1" outlineLevel="1" x14ac:dyDescent="0.2">
      <c r="B76" s="962" t="s">
        <v>485</v>
      </c>
      <c r="C76" s="942"/>
      <c r="D76" s="945">
        <v>0</v>
      </c>
      <c r="E76" s="945">
        <v>0</v>
      </c>
      <c r="F76" s="945">
        <v>0</v>
      </c>
      <c r="G76" s="945">
        <v>0</v>
      </c>
      <c r="H76" s="945">
        <v>0</v>
      </c>
    </row>
    <row r="77" spans="2:8" hidden="1" outlineLevel="1" x14ac:dyDescent="0.2">
      <c r="B77" s="962" t="s">
        <v>486</v>
      </c>
      <c r="C77" s="942"/>
      <c r="D77" s="945">
        <v>0</v>
      </c>
      <c r="E77" s="945">
        <v>4069000</v>
      </c>
      <c r="F77" s="945">
        <v>0</v>
      </c>
      <c r="G77" s="945">
        <v>0</v>
      </c>
      <c r="H77" s="945">
        <v>0</v>
      </c>
    </row>
    <row r="78" spans="2:8" hidden="1" outlineLevel="1" x14ac:dyDescent="0.2">
      <c r="B78" s="962" t="s">
        <v>471</v>
      </c>
      <c r="C78" s="942"/>
      <c r="D78" s="963">
        <v>3.5000000000000003E-2</v>
      </c>
      <c r="E78" s="963">
        <v>3.5000000000000003E-2</v>
      </c>
      <c r="F78" s="963">
        <v>3.5000000000000003E-2</v>
      </c>
      <c r="G78" s="963">
        <v>3.5000000000000003E-2</v>
      </c>
      <c r="H78" s="963">
        <v>3.5000000000000003E-2</v>
      </c>
    </row>
    <row r="79" spans="2:8" hidden="1" outlineLevel="1" x14ac:dyDescent="0.2">
      <c r="B79" s="962" t="s">
        <v>461</v>
      </c>
      <c r="C79" s="942"/>
      <c r="D79" s="943">
        <v>0</v>
      </c>
      <c r="E79" s="943">
        <v>30733000</v>
      </c>
      <c r="F79" s="943">
        <v>58234345</v>
      </c>
      <c r="G79" s="943">
        <v>384276822.46239996</v>
      </c>
      <c r="H79" s="943">
        <v>427622080.42384875</v>
      </c>
    </row>
    <row r="80" spans="2:8" hidden="1" outlineLevel="1" x14ac:dyDescent="0.2">
      <c r="B80" s="962" t="s">
        <v>462</v>
      </c>
      <c r="C80" s="942"/>
      <c r="D80" s="943">
        <v>0</v>
      </c>
      <c r="E80" s="943">
        <v>-1075655</v>
      </c>
      <c r="F80" s="943">
        <v>-2075850.0000000002</v>
      </c>
      <c r="G80" s="943">
        <v>-13559991.461184001</v>
      </c>
      <c r="H80" s="943">
        <v>-15551675.190976148</v>
      </c>
    </row>
    <row r="81" spans="2:9" hidden="1" outlineLevel="1" x14ac:dyDescent="0.2">
      <c r="B81" s="962" t="s">
        <v>464</v>
      </c>
      <c r="C81" s="943">
        <v>0</v>
      </c>
      <c r="D81" s="943">
        <v>30733000</v>
      </c>
      <c r="E81" s="943">
        <v>58234345</v>
      </c>
      <c r="F81" s="943">
        <v>384276822.46239996</v>
      </c>
      <c r="G81" s="943">
        <v>427622080.42384875</v>
      </c>
      <c r="H81" s="943">
        <v>412070405.23287261</v>
      </c>
    </row>
    <row r="82" spans="2:9" hidden="1" outlineLevel="1" x14ac:dyDescent="0.2">
      <c r="B82" s="962" t="s">
        <v>463</v>
      </c>
      <c r="C82" s="943">
        <v>0</v>
      </c>
      <c r="D82" s="943">
        <v>30733000</v>
      </c>
      <c r="E82" s="943">
        <v>59310000</v>
      </c>
      <c r="F82" s="943">
        <v>387428327.46239996</v>
      </c>
      <c r="G82" s="943">
        <v>444333576.88503277</v>
      </c>
      <c r="H82" s="943">
        <v>444333576.88503277</v>
      </c>
    </row>
    <row r="83" spans="2:9" hidden="1" outlineLevel="1" x14ac:dyDescent="0.2">
      <c r="B83" s="962" t="s">
        <v>465</v>
      </c>
      <c r="C83" s="943">
        <v>0</v>
      </c>
      <c r="D83" s="943">
        <v>0</v>
      </c>
      <c r="E83" s="943">
        <v>-1075655</v>
      </c>
      <c r="F83" s="943">
        <v>-3151505</v>
      </c>
      <c r="G83" s="943">
        <v>-16711496.461184001</v>
      </c>
      <c r="H83" s="943">
        <v>-32263171.652160149</v>
      </c>
    </row>
    <row r="84" spans="2:9" hidden="1" outlineLevel="1" x14ac:dyDescent="0.2">
      <c r="B84" s="962" t="s">
        <v>466</v>
      </c>
      <c r="C84" s="943">
        <v>0</v>
      </c>
      <c r="D84" s="943">
        <v>30733000</v>
      </c>
      <c r="E84" s="943">
        <v>58234345</v>
      </c>
      <c r="F84" s="943">
        <v>384276822.46239996</v>
      </c>
      <c r="G84" s="943">
        <v>427622080.42384875</v>
      </c>
      <c r="H84" s="943">
        <v>412070405.23287261</v>
      </c>
    </row>
    <row r="85" spans="2:9" hidden="1" outlineLevel="1" x14ac:dyDescent="0.2"/>
    <row r="86" spans="2:9" s="892" customFormat="1" hidden="1" outlineLevel="1" x14ac:dyDescent="0.2">
      <c r="B86" s="891" t="s">
        <v>487</v>
      </c>
    </row>
    <row r="87" spans="2:9" hidden="1" outlineLevel="1" x14ac:dyDescent="0.2">
      <c r="B87" s="939"/>
      <c r="C87" s="939"/>
      <c r="D87" s="939"/>
      <c r="E87" s="939"/>
      <c r="F87" s="939"/>
      <c r="G87" s="939"/>
      <c r="H87" s="939"/>
    </row>
    <row r="88" spans="2:9" hidden="1" outlineLevel="1" x14ac:dyDescent="0.2">
      <c r="B88" s="964" t="s">
        <v>488</v>
      </c>
      <c r="C88" s="961">
        <v>2016</v>
      </c>
      <c r="D88" s="961">
        <v>2017</v>
      </c>
      <c r="E88" s="961">
        <v>2018</v>
      </c>
      <c r="F88" s="961">
        <v>2019</v>
      </c>
      <c r="G88" s="961">
        <v>2020</v>
      </c>
      <c r="H88" s="961">
        <v>2021</v>
      </c>
    </row>
    <row r="89" spans="2:9" hidden="1" outlineLevel="2" x14ac:dyDescent="0.2">
      <c r="B89" s="965" t="s">
        <v>489</v>
      </c>
      <c r="C89" s="966"/>
      <c r="D89" s="966">
        <v>30733000</v>
      </c>
      <c r="E89" s="966">
        <v>28577000</v>
      </c>
      <c r="F89" s="966">
        <v>253909327.46239999</v>
      </c>
      <c r="G89" s="966">
        <v>56157000</v>
      </c>
      <c r="H89" s="966">
        <v>0</v>
      </c>
    </row>
    <row r="90" spans="2:9" hidden="1" outlineLevel="2" x14ac:dyDescent="0.2">
      <c r="B90" s="965" t="s">
        <v>490</v>
      </c>
      <c r="C90" s="966"/>
      <c r="D90" s="966">
        <v>0</v>
      </c>
      <c r="E90" s="966">
        <v>0</v>
      </c>
      <c r="F90" s="966">
        <v>0</v>
      </c>
      <c r="G90" s="966">
        <v>0</v>
      </c>
      <c r="H90" s="966">
        <v>6302000</v>
      </c>
    </row>
    <row r="91" spans="2:9" hidden="1" outlineLevel="2" x14ac:dyDescent="0.2">
      <c r="B91" s="965" t="s">
        <v>491</v>
      </c>
      <c r="C91" s="966"/>
      <c r="D91" s="966">
        <v>3482000</v>
      </c>
      <c r="E91" s="966">
        <v>4332000</v>
      </c>
      <c r="F91" s="966">
        <v>18205493.917274941</v>
      </c>
      <c r="G91" s="966">
        <v>6750000</v>
      </c>
      <c r="H91" s="966">
        <v>9596000</v>
      </c>
    </row>
    <row r="92" spans="2:9" hidden="1" outlineLevel="1" x14ac:dyDescent="0.2">
      <c r="B92" s="962" t="s">
        <v>492</v>
      </c>
      <c r="C92" s="943"/>
      <c r="D92" s="943">
        <v>34215000</v>
      </c>
      <c r="E92" s="943">
        <v>32909000</v>
      </c>
      <c r="F92" s="943">
        <v>272114821.37967491</v>
      </c>
      <c r="G92" s="943">
        <v>62907000</v>
      </c>
      <c r="H92" s="943">
        <v>15898000</v>
      </c>
    </row>
    <row r="93" spans="2:9" hidden="1" outlineLevel="1" x14ac:dyDescent="0.2">
      <c r="B93" s="962" t="s">
        <v>493</v>
      </c>
      <c r="D93" s="967">
        <v>0</v>
      </c>
      <c r="E93" s="967">
        <v>0</v>
      </c>
      <c r="F93" s="967">
        <v>0</v>
      </c>
      <c r="G93" s="967">
        <v>0</v>
      </c>
      <c r="H93" s="967">
        <v>0</v>
      </c>
    </row>
    <row r="94" spans="2:9" hidden="1" outlineLevel="1" x14ac:dyDescent="0.2">
      <c r="B94" s="962" t="s">
        <v>494</v>
      </c>
      <c r="D94" s="943">
        <v>34215000</v>
      </c>
      <c r="E94" s="943">
        <v>32909000</v>
      </c>
      <c r="F94" s="943">
        <v>272114821.37967491</v>
      </c>
      <c r="G94" s="943">
        <v>62907000</v>
      </c>
      <c r="H94" s="943">
        <v>15898000</v>
      </c>
      <c r="I94" s="948"/>
    </row>
    <row r="95" spans="2:9" hidden="1" outlineLevel="1" x14ac:dyDescent="0.2">
      <c r="B95" s="962" t="s">
        <v>485</v>
      </c>
      <c r="D95" s="943">
        <v>481000</v>
      </c>
      <c r="E95" s="943">
        <v>598608.16012317175</v>
      </c>
      <c r="F95" s="943">
        <v>2060000</v>
      </c>
      <c r="G95" s="943">
        <v>6857249.4226327948</v>
      </c>
      <c r="H95" s="943">
        <v>0</v>
      </c>
    </row>
    <row r="96" spans="2:9" hidden="1" outlineLevel="1" x14ac:dyDescent="0.2">
      <c r="B96" s="962" t="s">
        <v>486</v>
      </c>
      <c r="D96" s="943">
        <v>0</v>
      </c>
      <c r="E96" s="943">
        <v>0</v>
      </c>
      <c r="F96" s="943">
        <v>0</v>
      </c>
      <c r="G96" s="943">
        <v>7718000</v>
      </c>
      <c r="H96" s="943">
        <v>0</v>
      </c>
    </row>
    <row r="97" spans="2:10" hidden="1" outlineLevel="1" x14ac:dyDescent="0.2">
      <c r="B97" s="968" t="s">
        <v>495</v>
      </c>
      <c r="D97" s="943">
        <v>4480000</v>
      </c>
      <c r="E97" s="943">
        <v>3941000</v>
      </c>
      <c r="F97" s="943">
        <v>3988000</v>
      </c>
      <c r="G97" s="943">
        <v>3411000</v>
      </c>
      <c r="H97" s="943">
        <v>3967000</v>
      </c>
    </row>
    <row r="98" spans="2:10" hidden="1" outlineLevel="1" x14ac:dyDescent="0.2">
      <c r="B98" s="969" t="s">
        <v>496</v>
      </c>
      <c r="D98" s="943">
        <v>3472700</v>
      </c>
      <c r="E98" s="943">
        <v>3177725.7120862198</v>
      </c>
      <c r="F98" s="943">
        <v>4233600</v>
      </c>
      <c r="G98" s="943">
        <v>7187774.5958429556</v>
      </c>
      <c r="H98" s="943">
        <v>2776900</v>
      </c>
    </row>
    <row r="99" spans="2:10" hidden="1" outlineLevel="1" x14ac:dyDescent="0.2">
      <c r="B99" s="969" t="s">
        <v>497</v>
      </c>
      <c r="D99" s="943">
        <v>1488300.0000000002</v>
      </c>
      <c r="E99" s="943">
        <v>1361882.4480369515</v>
      </c>
      <c r="F99" s="943">
        <v>1814400.0000000002</v>
      </c>
      <c r="G99" s="943">
        <v>3080474.8267898387</v>
      </c>
      <c r="H99" s="943">
        <v>1190100.0000000002</v>
      </c>
    </row>
    <row r="100" spans="2:10" hidden="1" outlineLevel="1" x14ac:dyDescent="0.2"/>
    <row r="101" spans="2:10" hidden="1" outlineLevel="1" x14ac:dyDescent="0.2">
      <c r="B101" s="964" t="s">
        <v>498</v>
      </c>
      <c r="C101" s="961"/>
      <c r="D101" s="961">
        <v>2017</v>
      </c>
      <c r="E101" s="961">
        <v>2018</v>
      </c>
      <c r="F101" s="961">
        <v>2019</v>
      </c>
      <c r="G101" s="961">
        <v>2020</v>
      </c>
      <c r="H101" s="961">
        <v>2021</v>
      </c>
    </row>
    <row r="102" spans="2:10" hidden="1" outlineLevel="1" x14ac:dyDescent="0.2">
      <c r="B102" s="890" t="s">
        <v>469</v>
      </c>
      <c r="D102" s="943">
        <v>0</v>
      </c>
      <c r="E102" s="943">
        <v>0</v>
      </c>
      <c r="F102" s="943">
        <v>0</v>
      </c>
      <c r="G102" s="943">
        <v>0</v>
      </c>
      <c r="H102" s="943">
        <v>0</v>
      </c>
    </row>
    <row r="103" spans="2:10" hidden="1" outlineLevel="1" x14ac:dyDescent="0.2">
      <c r="B103" s="890" t="s">
        <v>470</v>
      </c>
      <c r="D103" s="970">
        <v>0</v>
      </c>
      <c r="E103" s="970">
        <v>0</v>
      </c>
      <c r="F103" s="970">
        <v>0</v>
      </c>
      <c r="G103" s="970">
        <v>0</v>
      </c>
      <c r="H103" s="970">
        <v>0</v>
      </c>
    </row>
    <row r="104" spans="2:10" hidden="1" outlineLevel="1" x14ac:dyDescent="0.2">
      <c r="B104" s="890" t="s">
        <v>471</v>
      </c>
      <c r="D104" s="963">
        <v>3.5000000000000003E-2</v>
      </c>
      <c r="E104" s="963">
        <v>3.5000000000000003E-2</v>
      </c>
      <c r="F104" s="963">
        <v>3.5000000000000003E-2</v>
      </c>
      <c r="G104" s="963">
        <v>3.5000000000000003E-2</v>
      </c>
      <c r="H104" s="963">
        <v>3.5000000000000003E-2</v>
      </c>
    </row>
    <row r="105" spans="2:10" hidden="1" outlineLevel="1" x14ac:dyDescent="0.2">
      <c r="B105" s="890" t="s">
        <v>461</v>
      </c>
    </row>
    <row r="106" spans="2:10" hidden="1" outlineLevel="1" x14ac:dyDescent="0.2">
      <c r="B106" s="890" t="s">
        <v>462</v>
      </c>
      <c r="D106" s="943">
        <v>0</v>
      </c>
      <c r="E106" s="943">
        <v>0</v>
      </c>
      <c r="F106" s="943">
        <v>0</v>
      </c>
      <c r="G106" s="943">
        <v>0</v>
      </c>
      <c r="H106" s="943">
        <v>0</v>
      </c>
      <c r="J106" s="971"/>
    </row>
    <row r="107" spans="2:10" hidden="1" outlineLevel="1" x14ac:dyDescent="0.2">
      <c r="B107" s="890" t="s">
        <v>499</v>
      </c>
      <c r="C107" s="943">
        <v>0</v>
      </c>
      <c r="D107" s="943">
        <v>0</v>
      </c>
      <c r="E107" s="943">
        <v>0</v>
      </c>
      <c r="F107" s="943">
        <v>0</v>
      </c>
      <c r="G107" s="943">
        <v>0</v>
      </c>
      <c r="H107" s="943">
        <v>0</v>
      </c>
    </row>
    <row r="108" spans="2:10" hidden="1" outlineLevel="1" x14ac:dyDescent="0.2">
      <c r="B108" s="972" t="s">
        <v>500</v>
      </c>
      <c r="C108" s="973">
        <v>0</v>
      </c>
      <c r="D108" s="973">
        <v>0</v>
      </c>
      <c r="E108" s="973">
        <v>0</v>
      </c>
      <c r="F108" s="973">
        <v>0</v>
      </c>
      <c r="G108" s="973">
        <v>0</v>
      </c>
      <c r="H108" s="973">
        <v>0</v>
      </c>
    </row>
    <row r="109" spans="2:10" hidden="1" outlineLevel="1" x14ac:dyDescent="0.2">
      <c r="B109" s="890" t="s">
        <v>465</v>
      </c>
      <c r="D109" s="943">
        <v>0</v>
      </c>
      <c r="E109" s="943">
        <v>0</v>
      </c>
      <c r="F109" s="943">
        <v>0</v>
      </c>
      <c r="G109" s="943">
        <v>0</v>
      </c>
      <c r="H109" s="943">
        <v>0</v>
      </c>
    </row>
    <row r="110" spans="2:10" hidden="1" outlineLevel="1" x14ac:dyDescent="0.2">
      <c r="B110" s="972" t="s">
        <v>501</v>
      </c>
      <c r="C110" s="973">
        <v>0</v>
      </c>
      <c r="D110" s="973">
        <v>0</v>
      </c>
      <c r="E110" s="973">
        <v>0</v>
      </c>
      <c r="F110" s="973">
        <v>0</v>
      </c>
      <c r="G110" s="973">
        <v>0</v>
      </c>
      <c r="H110" s="973">
        <v>0</v>
      </c>
    </row>
    <row r="111" spans="2:10" hidden="1" outlineLevel="1" x14ac:dyDescent="0.2">
      <c r="I111" s="974"/>
    </row>
    <row r="112" spans="2:10" hidden="1" outlineLevel="1" x14ac:dyDescent="0.2"/>
    <row r="113" spans="2:10" hidden="1" outlineLevel="1" x14ac:dyDescent="0.2">
      <c r="B113" s="964" t="s">
        <v>502</v>
      </c>
      <c r="C113" s="961" t="s">
        <v>503</v>
      </c>
      <c r="D113" s="961">
        <v>2017</v>
      </c>
      <c r="E113" s="961">
        <v>2018</v>
      </c>
      <c r="F113" s="961">
        <v>2019</v>
      </c>
      <c r="G113" s="961">
        <v>2020</v>
      </c>
      <c r="H113" s="961">
        <v>2021</v>
      </c>
    </row>
    <row r="114" spans="2:10" hidden="1" outlineLevel="1" x14ac:dyDescent="0.2">
      <c r="B114" s="890" t="s">
        <v>469</v>
      </c>
      <c r="D114" s="943">
        <v>34215000</v>
      </c>
      <c r="E114" s="943">
        <v>32909000</v>
      </c>
      <c r="F114" s="943">
        <v>272114821.37967491</v>
      </c>
      <c r="G114" s="943">
        <v>62907000</v>
      </c>
      <c r="H114" s="943">
        <v>15898000</v>
      </c>
    </row>
    <row r="115" spans="2:10" hidden="1" outlineLevel="1" x14ac:dyDescent="0.2">
      <c r="B115" s="890" t="s">
        <v>470</v>
      </c>
      <c r="D115" s="975">
        <v>2694380.8219178081</v>
      </c>
      <c r="E115" s="975">
        <v>12580131.506849315</v>
      </c>
      <c r="F115" s="975">
        <v>63536700.143196598</v>
      </c>
      <c r="G115" s="975">
        <v>26126134.246575341</v>
      </c>
      <c r="H115" s="975">
        <v>5077643.8356164377</v>
      </c>
    </row>
    <row r="116" spans="2:10" hidden="1" outlineLevel="1" x14ac:dyDescent="0.2">
      <c r="B116" s="890" t="s">
        <v>471</v>
      </c>
      <c r="D116" s="963">
        <v>3.5000000000000003E-2</v>
      </c>
      <c r="E116" s="963">
        <v>3.5000000000000003E-2</v>
      </c>
      <c r="F116" s="963">
        <v>3.5000000000000003E-2</v>
      </c>
      <c r="G116" s="963">
        <v>3.5000000000000003E-2</v>
      </c>
      <c r="H116" s="963">
        <v>3.5000000000000003E-2</v>
      </c>
    </row>
    <row r="117" spans="2:10" hidden="1" outlineLevel="1" x14ac:dyDescent="0.2">
      <c r="B117" s="890" t="s">
        <v>461</v>
      </c>
    </row>
    <row r="118" spans="2:10" hidden="1" outlineLevel="1" x14ac:dyDescent="0.2">
      <c r="B118" s="890" t="s">
        <v>462</v>
      </c>
      <c r="D118" s="943">
        <v>-94303.328767123297</v>
      </c>
      <c r="E118" s="943">
        <v>-1637829.6027397264</v>
      </c>
      <c r="F118" s="943">
        <v>-4573124.5050118817</v>
      </c>
      <c r="G118" s="943">
        <v>-12787773.446918761</v>
      </c>
      <c r="H118" s="943">
        <v>-14252821.282535197</v>
      </c>
      <c r="J118" s="971"/>
    </row>
    <row r="119" spans="2:10" hidden="1" outlineLevel="1" x14ac:dyDescent="0.2">
      <c r="B119" s="890" t="s">
        <v>499</v>
      </c>
      <c r="C119" s="943">
        <v>0</v>
      </c>
      <c r="D119" s="943">
        <v>34120696.671232879</v>
      </c>
      <c r="E119" s="943">
        <v>65391867.06849315</v>
      </c>
      <c r="F119" s="943">
        <v>332933563.94315618</v>
      </c>
      <c r="G119" s="943">
        <v>383052790.4962374</v>
      </c>
      <c r="H119" s="943">
        <v>384697969.2137022</v>
      </c>
    </row>
    <row r="120" spans="2:10" hidden="1" outlineLevel="1" x14ac:dyDescent="0.2">
      <c r="B120" s="972" t="s">
        <v>500</v>
      </c>
      <c r="C120" s="973">
        <v>0</v>
      </c>
      <c r="D120" s="973">
        <v>34215000</v>
      </c>
      <c r="E120" s="973">
        <v>67124000</v>
      </c>
      <c r="F120" s="973">
        <v>339238821.37967491</v>
      </c>
      <c r="G120" s="973">
        <v>402145821.37967491</v>
      </c>
      <c r="H120" s="973">
        <v>418043821.37967491</v>
      </c>
    </row>
    <row r="121" spans="2:10" hidden="1" outlineLevel="1" x14ac:dyDescent="0.2">
      <c r="B121" s="890" t="s">
        <v>465</v>
      </c>
      <c r="D121" s="943">
        <v>-94303.328767123297</v>
      </c>
      <c r="E121" s="943">
        <v>-1732132.9315068498</v>
      </c>
      <c r="F121" s="943">
        <v>-6305257.4365187315</v>
      </c>
      <c r="G121" s="943">
        <v>-19093030.883437492</v>
      </c>
      <c r="H121" s="943">
        <v>-33345852.165972687</v>
      </c>
    </row>
    <row r="122" spans="2:10" hidden="1" outlineLevel="1" x14ac:dyDescent="0.2">
      <c r="B122" s="972" t="s">
        <v>501</v>
      </c>
      <c r="C122" s="973">
        <v>0</v>
      </c>
      <c r="D122" s="973">
        <v>34120696.671232879</v>
      </c>
      <c r="E122" s="973">
        <v>65391867.06849315</v>
      </c>
      <c r="F122" s="973">
        <v>332933563.94315618</v>
      </c>
      <c r="G122" s="973">
        <v>383052790.4962374</v>
      </c>
      <c r="H122" s="973">
        <v>384697969.2137022</v>
      </c>
    </row>
    <row r="123" spans="2:10" hidden="1" outlineLevel="1" x14ac:dyDescent="0.2">
      <c r="B123" s="972"/>
      <c r="C123" s="972"/>
      <c r="D123" s="973"/>
      <c r="E123" s="973"/>
      <c r="F123" s="973"/>
      <c r="G123" s="973"/>
      <c r="H123" s="973"/>
    </row>
    <row r="124" spans="2:10" hidden="1" outlineLevel="2" x14ac:dyDescent="0.2">
      <c r="B124" s="964" t="s">
        <v>504</v>
      </c>
      <c r="C124" s="961" t="s">
        <v>505</v>
      </c>
      <c r="D124" s="961">
        <v>2017</v>
      </c>
      <c r="E124" s="961">
        <v>2018</v>
      </c>
      <c r="F124" s="961">
        <v>2019</v>
      </c>
      <c r="G124" s="961">
        <v>2020</v>
      </c>
      <c r="H124" s="961">
        <v>2021</v>
      </c>
    </row>
    <row r="125" spans="2:10" hidden="1" outlineLevel="2" x14ac:dyDescent="0.2">
      <c r="B125" s="890" t="s">
        <v>469</v>
      </c>
      <c r="D125" s="943">
        <v>3472700</v>
      </c>
      <c r="E125" s="943">
        <v>3177725.7120862198</v>
      </c>
      <c r="F125" s="943">
        <v>4233600</v>
      </c>
      <c r="G125" s="943">
        <v>7187774.5958429556</v>
      </c>
      <c r="H125" s="943">
        <v>2776900</v>
      </c>
      <c r="I125" s="976"/>
      <c r="J125" s="977"/>
    </row>
    <row r="126" spans="2:10" hidden="1" outlineLevel="2" x14ac:dyDescent="0.2">
      <c r="B126" s="890" t="s">
        <v>470</v>
      </c>
      <c r="D126" s="975">
        <v>2104986.3013698631</v>
      </c>
      <c r="E126" s="975">
        <v>2132993.9711263669</v>
      </c>
      <c r="F126" s="975">
        <v>2841731.506849315</v>
      </c>
      <c r="G126" s="975">
        <v>1811713.0488152108</v>
      </c>
      <c r="H126" s="975">
        <v>699930.95890410955</v>
      </c>
      <c r="I126" s="974"/>
    </row>
    <row r="127" spans="2:10" hidden="1" outlineLevel="2" x14ac:dyDescent="0.2">
      <c r="B127" s="890" t="s">
        <v>471</v>
      </c>
      <c r="C127" s="978"/>
      <c r="D127" s="978">
        <v>3.4838098558625408E-2</v>
      </c>
      <c r="E127" s="978">
        <v>3.4838098558625408E-2</v>
      </c>
      <c r="F127" s="978">
        <v>3.4838098558625408E-2</v>
      </c>
      <c r="G127" s="978">
        <v>3.4838098558625408E-2</v>
      </c>
      <c r="H127" s="978">
        <v>3.4838098558625408E-2</v>
      </c>
    </row>
    <row r="128" spans="2:10" hidden="1" outlineLevel="2" x14ac:dyDescent="0.2">
      <c r="B128" s="890" t="s">
        <v>461</v>
      </c>
    </row>
    <row r="129" spans="2:10" hidden="1" outlineLevel="2" x14ac:dyDescent="0.2">
      <c r="B129" s="890" t="s">
        <v>462</v>
      </c>
      <c r="D129" s="943">
        <v>-73333.720231679661</v>
      </c>
      <c r="E129" s="943">
        <v>-195291.71905559261</v>
      </c>
      <c r="F129" s="943">
        <v>-330688.70872724382</v>
      </c>
      <c r="G129" s="943">
        <v>-442295.39822684485</v>
      </c>
      <c r="H129" s="943">
        <v>-653971.42398996814</v>
      </c>
      <c r="J129" s="971"/>
    </row>
    <row r="130" spans="2:10" hidden="1" outlineLevel="2" x14ac:dyDescent="0.2">
      <c r="B130" s="890" t="s">
        <v>499</v>
      </c>
      <c r="C130" s="943">
        <v>0</v>
      </c>
      <c r="D130" s="943">
        <v>3399366.2797683203</v>
      </c>
      <c r="E130" s="943">
        <v>6381800.2727989471</v>
      </c>
      <c r="F130" s="943">
        <v>10284711.564071704</v>
      </c>
      <c r="G130" s="943">
        <v>17030190.761687811</v>
      </c>
      <c r="H130" s="943">
        <v>19153119.337697845</v>
      </c>
    </row>
    <row r="131" spans="2:10" hidden="1" outlineLevel="2" x14ac:dyDescent="0.2">
      <c r="B131" s="972" t="s">
        <v>500</v>
      </c>
      <c r="C131" s="973">
        <v>0</v>
      </c>
      <c r="D131" s="973">
        <v>3472700</v>
      </c>
      <c r="E131" s="973">
        <v>6650425.7120862193</v>
      </c>
      <c r="F131" s="973">
        <v>10884025.712086219</v>
      </c>
      <c r="G131" s="973">
        <v>18071800.307929173</v>
      </c>
      <c r="H131" s="973">
        <v>20848700.307929173</v>
      </c>
    </row>
    <row r="132" spans="2:10" hidden="1" outlineLevel="2" x14ac:dyDescent="0.2">
      <c r="B132" s="890" t="s">
        <v>465</v>
      </c>
      <c r="D132" s="943">
        <v>-73333.720231679661</v>
      </c>
      <c r="E132" s="943">
        <v>-268625.43928727228</v>
      </c>
      <c r="F132" s="943">
        <v>-599314.1480145161</v>
      </c>
      <c r="G132" s="943">
        <v>-1041609.5462413609</v>
      </c>
      <c r="H132" s="943">
        <v>-1695580.9702313291</v>
      </c>
    </row>
    <row r="133" spans="2:10" hidden="1" outlineLevel="2" x14ac:dyDescent="0.2">
      <c r="B133" s="972" t="s">
        <v>501</v>
      </c>
      <c r="C133" s="973">
        <v>0</v>
      </c>
      <c r="D133" s="973">
        <v>3399366.2797683203</v>
      </c>
      <c r="E133" s="973">
        <v>6381800.2727989471</v>
      </c>
      <c r="F133" s="973">
        <v>10284711.564071704</v>
      </c>
      <c r="G133" s="973">
        <v>17030190.761687811</v>
      </c>
      <c r="H133" s="973">
        <v>19153119.337697845</v>
      </c>
    </row>
    <row r="134" spans="2:10" hidden="1" outlineLevel="2" x14ac:dyDescent="0.2">
      <c r="B134" s="972"/>
      <c r="C134" s="972"/>
      <c r="D134" s="973"/>
      <c r="E134" s="973"/>
      <c r="F134" s="973"/>
      <c r="G134" s="973"/>
      <c r="H134" s="973"/>
    </row>
    <row r="135" spans="2:10" hidden="1" outlineLevel="1" x14ac:dyDescent="0.2">
      <c r="B135" s="964" t="s">
        <v>504</v>
      </c>
      <c r="C135" s="961" t="s">
        <v>506</v>
      </c>
      <c r="D135" s="961">
        <v>2017</v>
      </c>
      <c r="E135" s="961">
        <v>2018</v>
      </c>
      <c r="F135" s="961">
        <v>2019</v>
      </c>
      <c r="G135" s="961">
        <v>2020</v>
      </c>
      <c r="H135" s="961">
        <v>2021</v>
      </c>
    </row>
    <row r="136" spans="2:10" hidden="1" outlineLevel="1" x14ac:dyDescent="0.2">
      <c r="B136" s="890" t="s">
        <v>469</v>
      </c>
      <c r="D136" s="943">
        <v>1488300.0000000002</v>
      </c>
      <c r="E136" s="943">
        <v>1361882.4480369515</v>
      </c>
      <c r="F136" s="943">
        <v>1814400.0000000002</v>
      </c>
      <c r="G136" s="943">
        <v>3080474.8267898387</v>
      </c>
      <c r="H136" s="943">
        <v>1190100.0000000002</v>
      </c>
      <c r="I136" s="976"/>
    </row>
    <row r="137" spans="2:10" hidden="1" outlineLevel="1" x14ac:dyDescent="0.2">
      <c r="B137" s="890" t="s">
        <v>470</v>
      </c>
      <c r="D137" s="975">
        <v>902136.98630137008</v>
      </c>
      <c r="E137" s="975">
        <v>914140.27333987178</v>
      </c>
      <c r="F137" s="975">
        <v>1217884.9315068496</v>
      </c>
      <c r="G137" s="975">
        <v>776448.44949223334</v>
      </c>
      <c r="H137" s="975">
        <v>299970.41095890419</v>
      </c>
      <c r="I137" s="974"/>
    </row>
    <row r="138" spans="2:10" hidden="1" outlineLevel="1" x14ac:dyDescent="0.2">
      <c r="B138" s="890" t="s">
        <v>471</v>
      </c>
      <c r="C138" s="978"/>
      <c r="D138" s="978">
        <v>3.4838098558625408E-2</v>
      </c>
      <c r="E138" s="978">
        <v>3.4838098558625408E-2</v>
      </c>
      <c r="F138" s="978">
        <v>3.4838098558625408E-2</v>
      </c>
      <c r="G138" s="978">
        <v>3.4838098558625408E-2</v>
      </c>
      <c r="H138" s="978">
        <v>3.4838098558625408E-2</v>
      </c>
    </row>
    <row r="139" spans="2:10" hidden="1" outlineLevel="1" x14ac:dyDescent="0.2">
      <c r="B139" s="890" t="s">
        <v>461</v>
      </c>
    </row>
    <row r="140" spans="2:10" hidden="1" outlineLevel="1" x14ac:dyDescent="0.2">
      <c r="B140" s="890" t="s">
        <v>462</v>
      </c>
      <c r="D140" s="943">
        <v>-31428.737242148429</v>
      </c>
      <c r="E140" s="943">
        <v>-83696.45102382543</v>
      </c>
      <c r="F140" s="943">
        <v>-141723.73231167597</v>
      </c>
      <c r="G140" s="943">
        <v>-189555.1706686478</v>
      </c>
      <c r="H140" s="943">
        <v>-280273.46742427209</v>
      </c>
      <c r="J140" s="971"/>
    </row>
    <row r="141" spans="2:10" hidden="1" outlineLevel="1" x14ac:dyDescent="0.2">
      <c r="B141" s="890" t="s">
        <v>499</v>
      </c>
      <c r="C141" s="943">
        <v>0</v>
      </c>
      <c r="D141" s="943">
        <v>1456871.2627578517</v>
      </c>
      <c r="E141" s="943">
        <v>2735057.2597709778</v>
      </c>
      <c r="F141" s="943">
        <v>4407733.527459302</v>
      </c>
      <c r="G141" s="943">
        <v>7298653.1835804926</v>
      </c>
      <c r="H141" s="943">
        <v>8208479.7161562219</v>
      </c>
    </row>
    <row r="142" spans="2:10" hidden="1" outlineLevel="1" x14ac:dyDescent="0.2">
      <c r="B142" s="972" t="s">
        <v>500</v>
      </c>
      <c r="C142" s="973">
        <v>0</v>
      </c>
      <c r="D142" s="973">
        <v>1488300.0000000002</v>
      </c>
      <c r="E142" s="973">
        <v>2850182.4480369519</v>
      </c>
      <c r="F142" s="973">
        <v>4664582.4480369519</v>
      </c>
      <c r="G142" s="973">
        <v>7745057.2748267911</v>
      </c>
      <c r="H142" s="973">
        <v>8935157.2748267911</v>
      </c>
    </row>
    <row r="143" spans="2:10" hidden="1" outlineLevel="1" x14ac:dyDescent="0.2">
      <c r="B143" s="890" t="s">
        <v>465</v>
      </c>
      <c r="D143" s="943">
        <v>-31428.737242148429</v>
      </c>
      <c r="E143" s="943">
        <v>-115125.18826597386</v>
      </c>
      <c r="F143" s="943">
        <v>-256848.92057764984</v>
      </c>
      <c r="G143" s="943">
        <v>-446404.09124629764</v>
      </c>
      <c r="H143" s="943">
        <v>-726677.55867056968</v>
      </c>
    </row>
    <row r="144" spans="2:10" hidden="1" outlineLevel="1" x14ac:dyDescent="0.2">
      <c r="B144" s="972" t="s">
        <v>501</v>
      </c>
      <c r="C144" s="973">
        <v>0</v>
      </c>
      <c r="D144" s="973">
        <v>1456871.2627578517</v>
      </c>
      <c r="E144" s="973">
        <v>2735057.2597709782</v>
      </c>
      <c r="F144" s="973">
        <v>4407733.527459302</v>
      </c>
      <c r="G144" s="973">
        <v>7298653.1835804936</v>
      </c>
      <c r="H144" s="973">
        <v>8208479.7161562219</v>
      </c>
    </row>
    <row r="145" spans="2:9" hidden="1" outlineLevel="1" x14ac:dyDescent="0.2">
      <c r="B145" s="950"/>
      <c r="C145" s="979"/>
    </row>
    <row r="146" spans="2:9" hidden="1" outlineLevel="1" x14ac:dyDescent="0.2">
      <c r="B146" s="940" t="s">
        <v>507</v>
      </c>
      <c r="C146" s="980">
        <v>2016</v>
      </c>
      <c r="D146" s="980">
        <v>2017</v>
      </c>
      <c r="E146" s="980">
        <v>2018</v>
      </c>
      <c r="F146" s="980">
        <v>2019</v>
      </c>
      <c r="G146" s="980">
        <v>2020</v>
      </c>
      <c r="H146" s="980">
        <v>2021</v>
      </c>
      <c r="I146" s="890" t="s">
        <v>508</v>
      </c>
    </row>
    <row r="147" spans="2:9" hidden="1" outlineLevel="1" x14ac:dyDescent="0.2">
      <c r="B147" s="890" t="s">
        <v>499</v>
      </c>
      <c r="C147" s="943"/>
      <c r="D147" s="943">
        <v>3399366.2797683203</v>
      </c>
      <c r="E147" s="943">
        <v>6381800.2727989471</v>
      </c>
      <c r="F147" s="943">
        <v>10284711.564071704</v>
      </c>
      <c r="G147" s="943">
        <v>17030190.761687811</v>
      </c>
      <c r="H147" s="943">
        <v>19153119.337697845</v>
      </c>
    </row>
    <row r="148" spans="2:9" hidden="1" outlineLevel="1" x14ac:dyDescent="0.2">
      <c r="B148" s="890" t="s">
        <v>509</v>
      </c>
      <c r="C148" s="979"/>
      <c r="D148" s="943">
        <v>-73333.720231679661</v>
      </c>
      <c r="E148" s="943">
        <v>-195291.71905559261</v>
      </c>
      <c r="F148" s="943">
        <v>-330688.70872724382</v>
      </c>
      <c r="G148" s="943">
        <v>-442295.39822684485</v>
      </c>
      <c r="H148" s="943">
        <v>-653971.42398996814</v>
      </c>
    </row>
    <row r="149" spans="2:9" hidden="1" outlineLevel="1" x14ac:dyDescent="0.2">
      <c r="B149" s="890" t="s">
        <v>500</v>
      </c>
      <c r="C149" s="979"/>
      <c r="D149" s="943">
        <v>3472700</v>
      </c>
      <c r="E149" s="943">
        <v>6650425.7120862193</v>
      </c>
      <c r="F149" s="943">
        <v>10884025.712086219</v>
      </c>
      <c r="G149" s="943">
        <v>18071800.307929173</v>
      </c>
      <c r="H149" s="943">
        <v>20848700.307929173</v>
      </c>
    </row>
    <row r="150" spans="2:9" hidden="1" outlineLevel="1" x14ac:dyDescent="0.2">
      <c r="B150" s="890" t="s">
        <v>470</v>
      </c>
      <c r="C150" s="979"/>
      <c r="D150" s="943">
        <v>2104986.3013698631</v>
      </c>
      <c r="E150" s="943">
        <v>2132993.9711263669</v>
      </c>
      <c r="F150" s="943">
        <v>2841731.506849315</v>
      </c>
      <c r="G150" s="943">
        <v>1811713.0488152108</v>
      </c>
      <c r="H150" s="943">
        <v>699930.95890410955</v>
      </c>
    </row>
    <row r="151" spans="2:9" hidden="1" outlineLevel="1" x14ac:dyDescent="0.2">
      <c r="B151" s="940" t="s">
        <v>507</v>
      </c>
      <c r="C151" s="980">
        <v>2016</v>
      </c>
      <c r="D151" s="980">
        <v>2017</v>
      </c>
      <c r="E151" s="980">
        <v>2018</v>
      </c>
      <c r="F151" s="980">
        <v>2019</v>
      </c>
      <c r="G151" s="980">
        <v>2020</v>
      </c>
      <c r="H151" s="980">
        <v>2021</v>
      </c>
      <c r="I151" s="890" t="s">
        <v>510</v>
      </c>
    </row>
    <row r="152" spans="2:9" hidden="1" outlineLevel="1" x14ac:dyDescent="0.2">
      <c r="B152" s="890" t="s">
        <v>499</v>
      </c>
      <c r="C152" s="943"/>
      <c r="D152" s="943">
        <v>35577567.933990732</v>
      </c>
      <c r="E152" s="943">
        <v>68126924.328264132</v>
      </c>
      <c r="F152" s="943">
        <v>337341297.47061551</v>
      </c>
      <c r="G152" s="943">
        <v>390351443.67981791</v>
      </c>
      <c r="H152" s="943">
        <v>392906448.92985845</v>
      </c>
    </row>
    <row r="153" spans="2:9" hidden="1" outlineLevel="1" x14ac:dyDescent="0.2">
      <c r="B153" s="890" t="s">
        <v>509</v>
      </c>
      <c r="C153" s="979"/>
      <c r="D153" s="943">
        <v>-125732.06600927173</v>
      </c>
      <c r="E153" s="943">
        <v>-1721526.0537635519</v>
      </c>
      <c r="F153" s="943">
        <v>-4714848.237323558</v>
      </c>
      <c r="G153" s="943">
        <v>-12977328.61758741</v>
      </c>
      <c r="H153" s="943">
        <v>-14533094.749959469</v>
      </c>
    </row>
    <row r="154" spans="2:9" hidden="1" outlineLevel="1" x14ac:dyDescent="0.2">
      <c r="B154" s="890" t="s">
        <v>500</v>
      </c>
      <c r="C154" s="981"/>
      <c r="D154" s="943">
        <v>35703300</v>
      </c>
      <c r="E154" s="943">
        <v>69974182.448036954</v>
      </c>
      <c r="F154" s="943">
        <v>343903403.82771188</v>
      </c>
      <c r="G154" s="943">
        <v>409890878.65450168</v>
      </c>
      <c r="H154" s="943">
        <v>426978978.65450168</v>
      </c>
    </row>
    <row r="155" spans="2:9" hidden="1" outlineLevel="1" x14ac:dyDescent="0.2">
      <c r="B155" s="890" t="s">
        <v>470</v>
      </c>
      <c r="C155" s="979"/>
      <c r="D155" s="943">
        <v>3596517.8082191781</v>
      </c>
      <c r="E155" s="943">
        <v>13494271.780189186</v>
      </c>
      <c r="F155" s="943">
        <v>64754585.074703448</v>
      </c>
      <c r="G155" s="943">
        <v>26902582.696067575</v>
      </c>
      <c r="H155" s="943">
        <v>5377614.2465753416</v>
      </c>
    </row>
    <row r="156" spans="2:9" hidden="1" outlineLevel="1" x14ac:dyDescent="0.2">
      <c r="C156" s="943"/>
      <c r="D156" s="943"/>
      <c r="E156" s="943"/>
      <c r="F156" s="943"/>
      <c r="G156" s="943"/>
      <c r="H156" s="943"/>
    </row>
    <row r="157" spans="2:9" s="892" customFormat="1" collapsed="1" x14ac:dyDescent="0.2">
      <c r="B157" s="891" t="s">
        <v>341</v>
      </c>
    </row>
    <row r="158" spans="2:9" x14ac:dyDescent="0.2">
      <c r="B158" s="950"/>
      <c r="C158" s="979"/>
    </row>
    <row r="159" spans="2:9" x14ac:dyDescent="0.2">
      <c r="B159" s="891"/>
      <c r="C159" s="891">
        <v>2016</v>
      </c>
      <c r="D159" s="891">
        <v>2017</v>
      </c>
      <c r="E159" s="891">
        <v>2018</v>
      </c>
      <c r="F159" s="891">
        <v>2019</v>
      </c>
      <c r="G159" s="891">
        <v>2020</v>
      </c>
      <c r="H159" s="891">
        <v>2021</v>
      </c>
    </row>
    <row r="160" spans="2:9" x14ac:dyDescent="0.2">
      <c r="B160" s="947" t="s">
        <v>471</v>
      </c>
      <c r="C160" s="941">
        <v>2.4239702011208852E-2</v>
      </c>
      <c r="D160" s="941">
        <v>2.4239702011208852E-2</v>
      </c>
      <c r="E160" s="941">
        <v>2.4239702011208852E-2</v>
      </c>
      <c r="F160" s="941">
        <v>2.4239702011208852E-2</v>
      </c>
      <c r="G160" s="941">
        <v>2.4239702011208852E-2</v>
      </c>
      <c r="H160" s="941">
        <v>2.4239702011208852E-2</v>
      </c>
    </row>
    <row r="161" spans="2:8" x14ac:dyDescent="0.2">
      <c r="B161" s="947" t="s">
        <v>473</v>
      </c>
      <c r="C161" s="951">
        <v>0.02</v>
      </c>
      <c r="D161" s="951">
        <v>0.02</v>
      </c>
      <c r="E161" s="951">
        <v>0.02</v>
      </c>
      <c r="F161" s="951">
        <v>0.02</v>
      </c>
      <c r="G161" s="951">
        <v>0.02</v>
      </c>
      <c r="H161" s="951">
        <v>0.02</v>
      </c>
    </row>
    <row r="162" spans="2:8" x14ac:dyDescent="0.2">
      <c r="B162" s="947" t="s">
        <v>460</v>
      </c>
      <c r="C162" s="943"/>
      <c r="D162" s="943">
        <v>30496959.555</v>
      </c>
      <c r="E162" s="943">
        <v>30496959.555</v>
      </c>
      <c r="F162" s="943">
        <v>30496959.555</v>
      </c>
      <c r="G162" s="943">
        <v>30496959.555</v>
      </c>
      <c r="H162" s="943">
        <v>30496959.555</v>
      </c>
    </row>
    <row r="163" spans="2:8" x14ac:dyDescent="0.2">
      <c r="B163" s="947" t="s">
        <v>461</v>
      </c>
      <c r="C163" s="943"/>
      <c r="D163" s="943">
        <v>14766818.484999999</v>
      </c>
      <c r="E163" s="943">
        <v>14027581.273138911</v>
      </c>
      <c r="F163" s="943">
        <v>13288344.061277822</v>
      </c>
      <c r="G163" s="943">
        <v>12549106.849416733</v>
      </c>
      <c r="H163" s="943">
        <v>11809869.637555644</v>
      </c>
    </row>
    <row r="164" spans="2:8" x14ac:dyDescent="0.2">
      <c r="B164" s="947" t="s">
        <v>462</v>
      </c>
      <c r="C164" s="943"/>
      <c r="D164" s="943">
        <v>-739237.21186108852</v>
      </c>
      <c r="E164" s="943">
        <v>-739237.21186108852</v>
      </c>
      <c r="F164" s="943">
        <v>-739237.21186108852</v>
      </c>
      <c r="G164" s="943">
        <v>-739237.21186108852</v>
      </c>
      <c r="H164" s="943">
        <v>-739237.21186108852</v>
      </c>
    </row>
    <row r="165" spans="2:8" x14ac:dyDescent="0.2">
      <c r="B165" s="947" t="s">
        <v>474</v>
      </c>
      <c r="C165" s="943"/>
      <c r="D165" s="943"/>
      <c r="E165" s="943"/>
      <c r="F165" s="943"/>
      <c r="G165" s="943"/>
      <c r="H165" s="943"/>
    </row>
    <row r="166" spans="2:8" x14ac:dyDescent="0.2">
      <c r="B166" s="947" t="s">
        <v>463</v>
      </c>
      <c r="C166" s="943">
        <v>30496959.555</v>
      </c>
      <c r="D166" s="943">
        <v>30496959.555</v>
      </c>
      <c r="E166" s="943">
        <v>30496959.555</v>
      </c>
      <c r="F166" s="943">
        <v>30496959.555</v>
      </c>
      <c r="G166" s="943">
        <v>30496959.555</v>
      </c>
      <c r="H166" s="943">
        <v>30496959.555</v>
      </c>
    </row>
    <row r="167" spans="2:8" x14ac:dyDescent="0.2">
      <c r="B167" s="947" t="s">
        <v>465</v>
      </c>
      <c r="C167" s="943">
        <v>-15730141.07</v>
      </c>
      <c r="D167" s="943">
        <v>-16469378.281861089</v>
      </c>
      <c r="E167" s="943">
        <v>-17208615.493722178</v>
      </c>
      <c r="F167" s="943">
        <v>-17947852.705583267</v>
      </c>
      <c r="G167" s="943">
        <v>-18687089.917444356</v>
      </c>
      <c r="H167" s="943">
        <v>-19426327.129305445</v>
      </c>
    </row>
    <row r="168" spans="2:8" x14ac:dyDescent="0.2">
      <c r="B168" s="947" t="s">
        <v>464</v>
      </c>
      <c r="C168" s="943">
        <v>14766818.484999999</v>
      </c>
      <c r="D168" s="943">
        <v>14027581.273138911</v>
      </c>
      <c r="E168" s="943">
        <v>13288344.061277822</v>
      </c>
      <c r="F168" s="943">
        <v>12549106.849416733</v>
      </c>
      <c r="G168" s="943">
        <v>11809869.637555644</v>
      </c>
      <c r="H168" s="943">
        <v>11070632.425694555</v>
      </c>
    </row>
    <row r="169" spans="2:8" x14ac:dyDescent="0.2">
      <c r="B169" s="947"/>
      <c r="C169" s="982"/>
    </row>
    <row r="170" spans="2:8" x14ac:dyDescent="0.2">
      <c r="B170" s="983" t="s">
        <v>488</v>
      </c>
      <c r="C170" s="891">
        <v>2016</v>
      </c>
      <c r="D170" s="891">
        <v>2017</v>
      </c>
      <c r="E170" s="891">
        <v>2018</v>
      </c>
      <c r="F170" s="891">
        <v>2019</v>
      </c>
      <c r="G170" s="891">
        <v>2020</v>
      </c>
      <c r="H170" s="891">
        <v>2021</v>
      </c>
    </row>
    <row r="171" spans="2:8" x14ac:dyDescent="0.2">
      <c r="B171" s="947" t="s">
        <v>469</v>
      </c>
      <c r="C171" s="943"/>
      <c r="D171" s="943">
        <v>784009.73236009735</v>
      </c>
      <c r="E171" s="943">
        <v>10247000</v>
      </c>
      <c r="F171" s="943">
        <v>25168000</v>
      </c>
      <c r="G171" s="943">
        <v>4069000</v>
      </c>
      <c r="H171" s="943">
        <v>0</v>
      </c>
    </row>
    <row r="172" spans="2:8" x14ac:dyDescent="0.2">
      <c r="B172" s="890" t="s">
        <v>470</v>
      </c>
      <c r="C172" s="943"/>
      <c r="D172" s="943">
        <v>0</v>
      </c>
      <c r="E172" s="943">
        <v>2353339.7260273974</v>
      </c>
      <c r="F172" s="943">
        <v>5161115.0684931511</v>
      </c>
      <c r="G172" s="943">
        <v>3422419.1780821914</v>
      </c>
      <c r="H172" s="943">
        <v>0</v>
      </c>
    </row>
    <row r="173" spans="2:8" x14ac:dyDescent="0.2">
      <c r="B173" s="947" t="s">
        <v>471</v>
      </c>
      <c r="C173" s="951"/>
      <c r="D173" s="963">
        <v>3.5000000000000003E-2</v>
      </c>
      <c r="E173" s="963">
        <v>3.5000000000000003E-2</v>
      </c>
      <c r="F173" s="963">
        <v>3.5000000000000003E-2</v>
      </c>
      <c r="G173" s="963">
        <v>3.5000000000000003E-2</v>
      </c>
      <c r="H173" s="963">
        <v>3.5000000000000003E-2</v>
      </c>
    </row>
    <row r="174" spans="2:8" x14ac:dyDescent="0.2">
      <c r="B174" s="947" t="s">
        <v>461</v>
      </c>
      <c r="C174" s="943"/>
      <c r="D174" s="943">
        <v>0</v>
      </c>
      <c r="E174" s="943">
        <v>784009.73236009735</v>
      </c>
      <c r="F174" s="943">
        <v>10921202.501316534</v>
      </c>
      <c r="G174" s="943">
        <v>35522478.13328667</v>
      </c>
      <c r="H174" s="943">
        <v>38204728.121421188</v>
      </c>
    </row>
    <row r="175" spans="2:8" x14ac:dyDescent="0.2">
      <c r="B175" s="947" t="s">
        <v>462</v>
      </c>
      <c r="C175" s="943"/>
      <c r="D175" s="943">
        <v>0</v>
      </c>
      <c r="E175" s="943">
        <v>-109807.23104356234</v>
      </c>
      <c r="F175" s="943">
        <v>-566724.36802986381</v>
      </c>
      <c r="G175" s="943">
        <v>-1386750.0118654801</v>
      </c>
      <c r="H175" s="943">
        <v>-1409380.3406326035</v>
      </c>
    </row>
    <row r="176" spans="2:8" x14ac:dyDescent="0.2">
      <c r="B176" s="947" t="s">
        <v>464</v>
      </c>
      <c r="C176" s="943"/>
      <c r="D176" s="943">
        <v>784009.73236009735</v>
      </c>
      <c r="E176" s="943">
        <v>10921202.501316534</v>
      </c>
      <c r="F176" s="943">
        <v>35522478.13328667</v>
      </c>
      <c r="G176" s="943">
        <v>38204728.121421188</v>
      </c>
      <c r="H176" s="943">
        <v>36795347.780788586</v>
      </c>
    </row>
    <row r="177" spans="2:10 16384:16384" x14ac:dyDescent="0.2">
      <c r="B177" s="947" t="s">
        <v>463</v>
      </c>
      <c r="C177" s="943"/>
      <c r="D177" s="943">
        <v>784009.73236009735</v>
      </c>
      <c r="E177" s="943">
        <v>11031009.732360097</v>
      </c>
      <c r="F177" s="943">
        <v>36199009.732360095</v>
      </c>
      <c r="G177" s="943">
        <v>40268009.732360095</v>
      </c>
      <c r="H177" s="943">
        <v>40268009.732360095</v>
      </c>
    </row>
    <row r="178" spans="2:10 16384:16384" x14ac:dyDescent="0.2">
      <c r="B178" s="947" t="s">
        <v>465</v>
      </c>
      <c r="C178" s="943"/>
      <c r="D178" s="943">
        <v>0</v>
      </c>
      <c r="E178" s="943">
        <v>-109807.23104356234</v>
      </c>
      <c r="F178" s="943">
        <v>-676531.5990734261</v>
      </c>
      <c r="G178" s="943">
        <v>-2063281.6109389062</v>
      </c>
      <c r="H178" s="943">
        <v>-3472661.9515715097</v>
      </c>
    </row>
    <row r="179" spans="2:10 16384:16384" x14ac:dyDescent="0.2">
      <c r="B179" s="947"/>
      <c r="C179" s="984"/>
      <c r="D179" s="943"/>
      <c r="E179" s="943"/>
      <c r="F179" s="943"/>
      <c r="G179" s="943"/>
      <c r="H179" s="943"/>
      <c r="XFD179" s="943"/>
    </row>
    <row r="180" spans="2:10 16384:16384" x14ac:dyDescent="0.2">
      <c r="B180" s="985" t="s">
        <v>511</v>
      </c>
      <c r="C180" s="986">
        <v>30496959.555</v>
      </c>
      <c r="D180" s="986">
        <v>31280969.287360098</v>
      </c>
      <c r="E180" s="986">
        <v>41527969.287360094</v>
      </c>
      <c r="F180" s="986">
        <v>66695969.287360094</v>
      </c>
      <c r="G180" s="986">
        <v>70764969.287360102</v>
      </c>
      <c r="H180" s="986">
        <v>70764969.287360102</v>
      </c>
    </row>
    <row r="181" spans="2:10 16384:16384" x14ac:dyDescent="0.2">
      <c r="B181" s="985" t="s">
        <v>512</v>
      </c>
      <c r="C181" s="986">
        <v>14766818.484999999</v>
      </c>
      <c r="D181" s="986">
        <v>14811591.005499007</v>
      </c>
      <c r="E181" s="986">
        <v>24209546.562594354</v>
      </c>
      <c r="F181" s="986">
        <v>48071584.982703403</v>
      </c>
      <c r="G181" s="986">
        <v>50014597.758976832</v>
      </c>
      <c r="H181" s="986">
        <v>47865980.206483141</v>
      </c>
    </row>
    <row r="182" spans="2:10 16384:16384" x14ac:dyDescent="0.2">
      <c r="B182" s="985" t="s">
        <v>395</v>
      </c>
      <c r="C182" s="986">
        <v>0</v>
      </c>
      <c r="D182" s="986">
        <v>-739237.21186108852</v>
      </c>
      <c r="E182" s="986">
        <v>-849044.44290465082</v>
      </c>
      <c r="F182" s="986">
        <v>-1305961.5798909524</v>
      </c>
      <c r="G182" s="986">
        <v>-2125987.2237265687</v>
      </c>
      <c r="H182" s="986">
        <v>-2148617.5524936919</v>
      </c>
    </row>
    <row r="185" spans="2:10 16384:16384" s="892" customFormat="1" x14ac:dyDescent="0.2">
      <c r="B185" s="891" t="s">
        <v>379</v>
      </c>
    </row>
    <row r="186" spans="2:10 16384:16384" x14ac:dyDescent="0.2">
      <c r="B186" s="939"/>
      <c r="C186" s="939"/>
      <c r="D186" s="939"/>
      <c r="E186" s="939"/>
      <c r="F186" s="939"/>
      <c r="G186" s="939"/>
      <c r="H186" s="939"/>
    </row>
    <row r="187" spans="2:10 16384:16384" x14ac:dyDescent="0.2">
      <c r="B187" s="983" t="s">
        <v>343</v>
      </c>
      <c r="C187" s="891">
        <v>2016</v>
      </c>
      <c r="D187" s="891">
        <v>2017</v>
      </c>
      <c r="E187" s="891">
        <v>2018</v>
      </c>
      <c r="F187" s="891">
        <v>2019</v>
      </c>
      <c r="G187" s="891">
        <v>2020</v>
      </c>
      <c r="H187" s="891">
        <v>2021</v>
      </c>
    </row>
    <row r="188" spans="2:10 16384:16384" x14ac:dyDescent="0.2">
      <c r="B188" s="890" t="s">
        <v>343</v>
      </c>
    </row>
    <row r="189" spans="2:10 16384:16384" x14ac:dyDescent="0.2">
      <c r="B189" s="890" t="s">
        <v>513</v>
      </c>
      <c r="C189" s="945">
        <v>716112422.17638183</v>
      </c>
      <c r="D189" s="943">
        <v>716112422.17638183</v>
      </c>
      <c r="E189" s="943">
        <v>716112422.17638183</v>
      </c>
      <c r="F189" s="943">
        <v>716112422.17638183</v>
      </c>
      <c r="G189" s="943">
        <v>716112422.17638183</v>
      </c>
      <c r="H189" s="943">
        <v>716112422.17638183</v>
      </c>
      <c r="J189" s="943"/>
    </row>
    <row r="190" spans="2:10 16384:16384" x14ac:dyDescent="0.2">
      <c r="B190" s="890" t="s">
        <v>514</v>
      </c>
      <c r="C190" s="987">
        <v>0</v>
      </c>
      <c r="D190" s="943">
        <v>345480168</v>
      </c>
      <c r="E190" s="943">
        <v>345480168</v>
      </c>
      <c r="F190" s="943">
        <v>345480168</v>
      </c>
      <c r="G190" s="943">
        <v>345480168</v>
      </c>
      <c r="H190" s="943">
        <v>345480168</v>
      </c>
      <c r="J190" s="943"/>
    </row>
    <row r="191" spans="2:10 16384:16384" x14ac:dyDescent="0.2">
      <c r="B191" s="890" t="s">
        <v>515</v>
      </c>
      <c r="C191" s="945">
        <v>97333227.92770189</v>
      </c>
      <c r="D191" s="943">
        <v>97333227.92770189</v>
      </c>
      <c r="E191" s="943">
        <v>97333227.92770189</v>
      </c>
      <c r="F191" s="943">
        <v>97333227.92770189</v>
      </c>
      <c r="G191" s="943">
        <v>97333227.92770189</v>
      </c>
      <c r="H191" s="943">
        <v>97333227.92770189</v>
      </c>
      <c r="J191" s="943"/>
    </row>
    <row r="192" spans="2:10 16384:16384" ht="14.25" customHeight="1" x14ac:dyDescent="0.2">
      <c r="B192" s="890" t="s">
        <v>516</v>
      </c>
      <c r="C192" s="948">
        <v>0</v>
      </c>
      <c r="D192" s="943">
        <v>0</v>
      </c>
      <c r="E192" s="943">
        <v>0</v>
      </c>
      <c r="F192" s="943">
        <v>0</v>
      </c>
      <c r="G192" s="943">
        <v>0</v>
      </c>
      <c r="H192" s="943">
        <v>0</v>
      </c>
      <c r="J192" s="943"/>
    </row>
    <row r="193" spans="2:9" x14ac:dyDescent="0.2">
      <c r="B193" s="890" t="s">
        <v>517</v>
      </c>
      <c r="C193" s="945">
        <f>+'VNR APROBADO'!VNR_Subestaciones_Conexión+VNR_Lineas_Conexión</f>
        <v>110458621.38426657</v>
      </c>
      <c r="D193" s="943">
        <f>+C193+D171</f>
        <v>111242631.11662666</v>
      </c>
      <c r="E193" s="943">
        <f t="shared" ref="E193:H193" si="0">+D193+E171</f>
        <v>121489631.11662666</v>
      </c>
      <c r="F193" s="943">
        <f t="shared" si="0"/>
        <v>146657631.11662668</v>
      </c>
      <c r="G193" s="943">
        <f t="shared" si="0"/>
        <v>150726631.11662668</v>
      </c>
      <c r="H193" s="943">
        <f t="shared" si="0"/>
        <v>150726631.11662668</v>
      </c>
    </row>
    <row r="194" spans="2:9" outlineLevel="1" x14ac:dyDescent="0.2"/>
    <row r="195" spans="2:9" outlineLevel="1" x14ac:dyDescent="0.2">
      <c r="B195" s="983" t="s">
        <v>362</v>
      </c>
      <c r="C195" s="891">
        <v>2016</v>
      </c>
      <c r="D195" s="891">
        <v>2017</v>
      </c>
      <c r="E195" s="891">
        <v>2018</v>
      </c>
      <c r="F195" s="891">
        <v>2019</v>
      </c>
      <c r="G195" s="891">
        <v>2020</v>
      </c>
      <c r="H195" s="891">
        <v>2021</v>
      </c>
    </row>
    <row r="196" spans="2:9" outlineLevel="1" x14ac:dyDescent="0.2">
      <c r="B196" s="890" t="s">
        <v>513</v>
      </c>
      <c r="C196" s="943"/>
      <c r="D196" s="943">
        <v>0</v>
      </c>
      <c r="E196" s="943">
        <v>0</v>
      </c>
      <c r="F196" s="943">
        <v>0</v>
      </c>
      <c r="G196" s="943">
        <v>0</v>
      </c>
      <c r="H196" s="943">
        <v>0</v>
      </c>
    </row>
    <row r="197" spans="2:9" outlineLevel="1" x14ac:dyDescent="0.2">
      <c r="B197" s="890" t="s">
        <v>514</v>
      </c>
      <c r="D197" s="943">
        <v>34215000</v>
      </c>
      <c r="E197" s="943">
        <v>32909000</v>
      </c>
      <c r="F197" s="943">
        <v>272114821.37967491</v>
      </c>
      <c r="G197" s="943">
        <v>62907000</v>
      </c>
      <c r="H197" s="943">
        <v>15898000</v>
      </c>
    </row>
    <row r="198" spans="2:9" outlineLevel="1" x14ac:dyDescent="0.2">
      <c r="B198" s="890" t="s">
        <v>515</v>
      </c>
      <c r="C198" s="988">
        <v>0.7</v>
      </c>
      <c r="D198" s="943">
        <v>3472700</v>
      </c>
      <c r="E198" s="943">
        <v>3177725.7120862198</v>
      </c>
      <c r="F198" s="943">
        <v>4233600</v>
      </c>
      <c r="G198" s="943">
        <v>12590374.595842956</v>
      </c>
      <c r="H198" s="943">
        <v>2776900</v>
      </c>
    </row>
    <row r="199" spans="2:9" outlineLevel="1" x14ac:dyDescent="0.2">
      <c r="B199" s="890" t="s">
        <v>516</v>
      </c>
      <c r="C199" s="989">
        <v>0.30000000000000004</v>
      </c>
      <c r="D199" s="943">
        <v>1488300.0000000002</v>
      </c>
      <c r="E199" s="943">
        <v>1361882.4480369515</v>
      </c>
      <c r="F199" s="943">
        <v>1814400.0000000002</v>
      </c>
      <c r="G199" s="943">
        <v>5395874.8267898392</v>
      </c>
      <c r="H199" s="943">
        <v>1190100.0000000002</v>
      </c>
    </row>
    <row r="200" spans="2:9" outlineLevel="1" x14ac:dyDescent="0.2">
      <c r="D200" s="943"/>
      <c r="E200" s="943"/>
      <c r="F200" s="943"/>
      <c r="G200" s="943"/>
      <c r="H200" s="943"/>
      <c r="I200" s="990"/>
    </row>
    <row r="201" spans="2:9" outlineLevel="1" x14ac:dyDescent="0.2">
      <c r="B201" s="940" t="s">
        <v>518</v>
      </c>
      <c r="C201" s="891">
        <v>2016</v>
      </c>
      <c r="D201" s="891">
        <v>2017</v>
      </c>
      <c r="E201" s="891">
        <v>2018</v>
      </c>
      <c r="F201" s="891">
        <v>2019</v>
      </c>
      <c r="G201" s="891">
        <v>2020</v>
      </c>
      <c r="H201" s="891">
        <v>2021</v>
      </c>
      <c r="I201" s="990"/>
    </row>
    <row r="202" spans="2:9" outlineLevel="1" x14ac:dyDescent="0.2">
      <c r="B202" s="890" t="s">
        <v>513</v>
      </c>
      <c r="D202" s="943">
        <v>0</v>
      </c>
      <c r="E202" s="943">
        <v>0</v>
      </c>
      <c r="F202" s="943">
        <v>0</v>
      </c>
      <c r="G202" s="943">
        <v>0</v>
      </c>
      <c r="H202" s="943">
        <v>0</v>
      </c>
    </row>
    <row r="203" spans="2:9" outlineLevel="1" x14ac:dyDescent="0.2">
      <c r="B203" s="890" t="s">
        <v>514</v>
      </c>
      <c r="D203" s="943">
        <v>34215000</v>
      </c>
      <c r="E203" s="943">
        <v>67124000</v>
      </c>
      <c r="F203" s="943">
        <v>339238821.37967491</v>
      </c>
      <c r="G203" s="943">
        <v>402145821.37967491</v>
      </c>
      <c r="H203" s="943">
        <v>418043821.37967491</v>
      </c>
    </row>
    <row r="204" spans="2:9" outlineLevel="1" x14ac:dyDescent="0.2">
      <c r="B204" s="890" t="s">
        <v>515</v>
      </c>
      <c r="D204" s="943">
        <v>3472700</v>
      </c>
      <c r="E204" s="943">
        <v>6650425.7120862193</v>
      </c>
      <c r="F204" s="943">
        <v>10884025.712086219</v>
      </c>
      <c r="G204" s="943">
        <v>23474400.307929173</v>
      </c>
      <c r="H204" s="943">
        <v>26251300.307929173</v>
      </c>
    </row>
    <row r="205" spans="2:9" outlineLevel="1" x14ac:dyDescent="0.2">
      <c r="B205" s="890" t="s">
        <v>516</v>
      </c>
      <c r="D205" s="943">
        <v>1488300.0000000002</v>
      </c>
      <c r="E205" s="943">
        <v>2850182.4480369519</v>
      </c>
      <c r="F205" s="943">
        <v>4664582.4480369519</v>
      </c>
      <c r="G205" s="943">
        <v>10060457.274826791</v>
      </c>
      <c r="H205" s="943">
        <v>11250557.274826791</v>
      </c>
    </row>
    <row r="206" spans="2:9" outlineLevel="1" x14ac:dyDescent="0.2">
      <c r="D206" s="943"/>
      <c r="E206" s="943"/>
      <c r="F206" s="943"/>
      <c r="G206" s="943"/>
      <c r="H206" s="943"/>
    </row>
    <row r="207" spans="2:9" outlineLevel="1" x14ac:dyDescent="0.2">
      <c r="B207" s="940" t="s">
        <v>519</v>
      </c>
      <c r="C207" s="891">
        <v>2016</v>
      </c>
      <c r="D207" s="891">
        <v>2017</v>
      </c>
      <c r="E207" s="891">
        <v>2018</v>
      </c>
      <c r="F207" s="891">
        <v>2019</v>
      </c>
      <c r="G207" s="891">
        <v>2020</v>
      </c>
      <c r="H207" s="891">
        <v>2021</v>
      </c>
    </row>
    <row r="208" spans="2:9" outlineLevel="1" x14ac:dyDescent="0.2">
      <c r="B208" s="890" t="s">
        <v>513</v>
      </c>
      <c r="D208" s="943">
        <v>0</v>
      </c>
      <c r="E208" s="943">
        <v>0</v>
      </c>
      <c r="F208" s="943">
        <v>0</v>
      </c>
      <c r="G208" s="943">
        <v>0</v>
      </c>
      <c r="H208" s="943">
        <v>0</v>
      </c>
    </row>
    <row r="209" spans="2:8" outlineLevel="1" x14ac:dyDescent="0.2">
      <c r="B209" s="890" t="s">
        <v>514</v>
      </c>
      <c r="D209" s="943">
        <v>2694380.8219178081</v>
      </c>
      <c r="E209" s="943">
        <v>12580131.506849315</v>
      </c>
      <c r="F209" s="943">
        <v>63536700.143196598</v>
      </c>
      <c r="G209" s="943">
        <v>26126134.246575341</v>
      </c>
      <c r="H209" s="943">
        <v>5077643.8356164377</v>
      </c>
    </row>
    <row r="210" spans="2:8" outlineLevel="1" x14ac:dyDescent="0.2">
      <c r="B210" s="890" t="s">
        <v>515</v>
      </c>
      <c r="D210" s="943">
        <v>2104986.3013698631</v>
      </c>
      <c r="E210" s="943">
        <v>2132993.9711263669</v>
      </c>
      <c r="F210" s="943">
        <v>2841731.506849315</v>
      </c>
      <c r="G210" s="943">
        <v>3173464.2816919233</v>
      </c>
      <c r="H210" s="943">
        <v>699930.95890410955</v>
      </c>
    </row>
    <row r="211" spans="2:8" outlineLevel="1" x14ac:dyDescent="0.2">
      <c r="B211" s="890" t="s">
        <v>516</v>
      </c>
      <c r="D211" s="943">
        <v>902136.98630137008</v>
      </c>
      <c r="E211" s="943">
        <v>914140.27333987178</v>
      </c>
      <c r="F211" s="943">
        <v>1217884.9315068496</v>
      </c>
      <c r="G211" s="943">
        <v>2138199.6823689458</v>
      </c>
      <c r="H211" s="943">
        <v>299970.41095890419</v>
      </c>
    </row>
    <row r="212" spans="2:8" outlineLevel="1" x14ac:dyDescent="0.2"/>
    <row r="213" spans="2:8" outlineLevel="1" x14ac:dyDescent="0.2">
      <c r="B213" s="940"/>
      <c r="C213" s="891"/>
      <c r="D213" s="980" t="s">
        <v>520</v>
      </c>
      <c r="E213" s="980" t="s">
        <v>521</v>
      </c>
      <c r="F213" s="980" t="s">
        <v>522</v>
      </c>
      <c r="G213" s="980" t="s">
        <v>523</v>
      </c>
      <c r="H213" s="980" t="s">
        <v>524</v>
      </c>
    </row>
    <row r="214" spans="2:8" outlineLevel="1" x14ac:dyDescent="0.2"/>
    <row r="215" spans="2:8" outlineLevel="1" x14ac:dyDescent="0.2">
      <c r="B215" s="991" t="s">
        <v>498</v>
      </c>
      <c r="C215" s="992"/>
      <c r="D215" s="992"/>
      <c r="E215" s="992"/>
      <c r="F215" s="992"/>
      <c r="G215" s="992"/>
      <c r="H215" s="992"/>
    </row>
    <row r="216" spans="2:8" outlineLevel="1" x14ac:dyDescent="0.2">
      <c r="B216" s="890" t="s">
        <v>525</v>
      </c>
      <c r="E216" s="943">
        <v>0</v>
      </c>
      <c r="F216" s="943">
        <v>0</v>
      </c>
      <c r="G216" s="943">
        <v>0</v>
      </c>
      <c r="H216" s="943">
        <v>0</v>
      </c>
    </row>
    <row r="217" spans="2:8" outlineLevel="1" x14ac:dyDescent="0.2">
      <c r="B217" s="890" t="s">
        <v>526</v>
      </c>
      <c r="D217" s="975">
        <v>0</v>
      </c>
      <c r="E217" s="975">
        <v>0</v>
      </c>
      <c r="F217" s="975">
        <v>0</v>
      </c>
      <c r="G217" s="975">
        <v>0</v>
      </c>
      <c r="H217" s="975">
        <v>0</v>
      </c>
    </row>
    <row r="218" spans="2:8" outlineLevel="1" x14ac:dyDescent="0.2">
      <c r="B218" s="991" t="s">
        <v>527</v>
      </c>
      <c r="C218" s="992"/>
      <c r="D218" s="992"/>
      <c r="E218" s="992"/>
      <c r="F218" s="992"/>
      <c r="G218" s="992"/>
      <c r="H218" s="992"/>
    </row>
    <row r="219" spans="2:8" outlineLevel="1" x14ac:dyDescent="0.2">
      <c r="B219" s="890" t="s">
        <v>525</v>
      </c>
      <c r="E219" s="943">
        <v>31520619.17808219</v>
      </c>
      <c r="F219" s="943">
        <v>20328868.493150685</v>
      </c>
      <c r="G219" s="943">
        <v>208578121.23647833</v>
      </c>
      <c r="H219" s="943">
        <v>36780865.753424659</v>
      </c>
    </row>
    <row r="220" spans="2:8" outlineLevel="1" x14ac:dyDescent="0.2">
      <c r="B220" s="890" t="s">
        <v>526</v>
      </c>
      <c r="D220" s="975">
        <v>2694380.8219178081</v>
      </c>
      <c r="E220" s="975">
        <v>12580131.506849315</v>
      </c>
      <c r="F220" s="975">
        <v>63536700.143196598</v>
      </c>
      <c r="G220" s="975">
        <v>26126134.246575341</v>
      </c>
      <c r="H220" s="975">
        <v>5077643.8356164377</v>
      </c>
    </row>
    <row r="221" spans="2:8" outlineLevel="1" x14ac:dyDescent="0.2">
      <c r="B221" s="991" t="s">
        <v>528</v>
      </c>
      <c r="C221" s="992"/>
      <c r="D221" s="992"/>
      <c r="E221" s="992"/>
      <c r="F221" s="992"/>
      <c r="G221" s="992"/>
      <c r="H221" s="992"/>
    </row>
    <row r="222" spans="2:8" outlineLevel="1" x14ac:dyDescent="0.2">
      <c r="B222" s="890" t="s">
        <v>525</v>
      </c>
      <c r="E222" s="943">
        <v>1367713.6986301369</v>
      </c>
      <c r="F222" s="943">
        <v>1044731.7409598529</v>
      </c>
      <c r="G222" s="943">
        <v>1391868.493150685</v>
      </c>
      <c r="H222" s="943">
        <v>5376061.5470277444</v>
      </c>
    </row>
    <row r="223" spans="2:8" outlineLevel="1" x14ac:dyDescent="0.2">
      <c r="B223" s="890" t="s">
        <v>526</v>
      </c>
      <c r="D223" s="975">
        <v>2104986.3013698631</v>
      </c>
      <c r="E223" s="975">
        <v>2132993.9711263669</v>
      </c>
      <c r="F223" s="975">
        <v>2841731.506849315</v>
      </c>
      <c r="G223" s="975">
        <v>1811713.0488152108</v>
      </c>
      <c r="H223" s="975">
        <v>699930.95890410955</v>
      </c>
    </row>
    <row r="224" spans="2:8" outlineLevel="1" x14ac:dyDescent="0.2">
      <c r="B224" s="991" t="s">
        <v>529</v>
      </c>
      <c r="C224" s="992"/>
      <c r="D224" s="992"/>
      <c r="E224" s="992"/>
      <c r="F224" s="992"/>
      <c r="G224" s="992"/>
      <c r="H224" s="992"/>
    </row>
    <row r="225" spans="2:36" outlineLevel="1" x14ac:dyDescent="0.2">
      <c r="B225" s="890" t="s">
        <v>525</v>
      </c>
      <c r="E225" s="943">
        <v>586163.01369863015</v>
      </c>
      <c r="F225" s="943">
        <v>447742.1746970797</v>
      </c>
      <c r="G225" s="943">
        <v>596515.06849315064</v>
      </c>
      <c r="H225" s="943">
        <v>2304026.3772976054</v>
      </c>
    </row>
    <row r="226" spans="2:36" outlineLevel="1" x14ac:dyDescent="0.2">
      <c r="B226" s="890" t="s">
        <v>526</v>
      </c>
      <c r="D226" s="975">
        <v>902136.98630137008</v>
      </c>
      <c r="E226" s="975">
        <v>914140.27333987178</v>
      </c>
      <c r="F226" s="975">
        <v>1217884.9315068496</v>
      </c>
      <c r="G226" s="975">
        <v>776448.44949223334</v>
      </c>
      <c r="H226" s="975">
        <v>299970.41095890419</v>
      </c>
    </row>
    <row r="227" spans="2:36" outlineLevel="1" x14ac:dyDescent="0.2">
      <c r="D227" s="975"/>
      <c r="E227" s="975"/>
      <c r="F227" s="975"/>
      <c r="G227" s="975"/>
      <c r="H227" s="975"/>
    </row>
    <row r="228" spans="2:36" outlineLevel="1" x14ac:dyDescent="0.2">
      <c r="B228" s="991" t="s">
        <v>498</v>
      </c>
      <c r="C228" s="992"/>
      <c r="D228" s="992"/>
      <c r="E228" s="992"/>
      <c r="F228" s="992"/>
      <c r="G228" s="992"/>
      <c r="H228" s="992"/>
    </row>
    <row r="229" spans="2:36" outlineLevel="1" x14ac:dyDescent="0.2">
      <c r="B229" s="890" t="s">
        <v>530</v>
      </c>
      <c r="D229" s="993"/>
      <c r="E229" s="994">
        <v>0.75</v>
      </c>
      <c r="F229" s="994">
        <v>0.75</v>
      </c>
      <c r="G229" s="994">
        <v>0.75</v>
      </c>
      <c r="H229" s="994">
        <v>0.75</v>
      </c>
    </row>
    <row r="230" spans="2:36" outlineLevel="1" x14ac:dyDescent="0.2">
      <c r="B230" s="890" t="s">
        <v>531</v>
      </c>
      <c r="D230" s="993"/>
      <c r="E230" s="994">
        <v>0.25</v>
      </c>
      <c r="F230" s="994">
        <v>0.25</v>
      </c>
      <c r="G230" s="994">
        <v>0.25</v>
      </c>
      <c r="H230" s="994">
        <v>0.25</v>
      </c>
    </row>
    <row r="231" spans="2:36" outlineLevel="1" x14ac:dyDescent="0.2">
      <c r="B231" s="991" t="s">
        <v>527</v>
      </c>
      <c r="C231" s="992"/>
      <c r="D231" s="992"/>
      <c r="E231" s="992"/>
      <c r="F231" s="992"/>
      <c r="G231" s="992"/>
      <c r="H231" s="992"/>
    </row>
    <row r="232" spans="2:36" outlineLevel="1" x14ac:dyDescent="0.2">
      <c r="B232" s="890" t="s">
        <v>530</v>
      </c>
      <c r="D232" s="993"/>
      <c r="E232" s="994">
        <v>0.75</v>
      </c>
      <c r="F232" s="994">
        <v>0.75</v>
      </c>
      <c r="G232" s="994">
        <v>0.75</v>
      </c>
      <c r="H232" s="994">
        <v>0.75</v>
      </c>
    </row>
    <row r="233" spans="2:36" outlineLevel="1" x14ac:dyDescent="0.2">
      <c r="B233" s="890" t="s">
        <v>531</v>
      </c>
      <c r="D233" s="993"/>
      <c r="E233" s="994">
        <v>0.25</v>
      </c>
      <c r="F233" s="994">
        <v>0.25</v>
      </c>
      <c r="G233" s="994">
        <v>0.25</v>
      </c>
      <c r="H233" s="994">
        <v>0.25</v>
      </c>
    </row>
    <row r="234" spans="2:36" outlineLevel="1" x14ac:dyDescent="0.2">
      <c r="B234" s="991" t="s">
        <v>528</v>
      </c>
      <c r="C234" s="992"/>
      <c r="D234" s="992"/>
      <c r="E234" s="995"/>
      <c r="F234" s="995"/>
      <c r="G234" s="995"/>
      <c r="H234" s="995"/>
    </row>
    <row r="235" spans="2:36" outlineLevel="1" x14ac:dyDescent="0.2">
      <c r="B235" s="890" t="s">
        <v>530</v>
      </c>
      <c r="D235" s="993"/>
      <c r="E235" s="994">
        <v>0.75</v>
      </c>
      <c r="F235" s="994">
        <v>0.75</v>
      </c>
      <c r="G235" s="994">
        <v>0.75</v>
      </c>
      <c r="H235" s="994">
        <v>0.75</v>
      </c>
    </row>
    <row r="236" spans="2:36" outlineLevel="1" x14ac:dyDescent="0.2">
      <c r="B236" s="890" t="s">
        <v>531</v>
      </c>
      <c r="D236" s="993"/>
      <c r="E236" s="994">
        <v>0.25</v>
      </c>
      <c r="F236" s="994">
        <v>0.25</v>
      </c>
      <c r="G236" s="994">
        <v>0.25</v>
      </c>
      <c r="H236" s="994">
        <v>0.25</v>
      </c>
      <c r="AH236" s="890" t="s">
        <v>44</v>
      </c>
      <c r="AI236" s="890">
        <v>2016</v>
      </c>
      <c r="AJ236" s="890" t="s">
        <v>532</v>
      </c>
    </row>
    <row r="237" spans="2:36" outlineLevel="1" x14ac:dyDescent="0.2">
      <c r="B237" s="991" t="s">
        <v>529</v>
      </c>
      <c r="C237" s="992"/>
      <c r="D237" s="992"/>
      <c r="E237" s="992"/>
      <c r="F237" s="992"/>
      <c r="G237" s="992"/>
      <c r="H237" s="992"/>
      <c r="AH237" s="890" t="s">
        <v>533</v>
      </c>
      <c r="AI237" s="996">
        <v>711286499.70743918</v>
      </c>
      <c r="AJ237" s="946">
        <v>0.87441183023896829</v>
      </c>
    </row>
    <row r="238" spans="2:36" outlineLevel="1" x14ac:dyDescent="0.2">
      <c r="B238" s="890" t="s">
        <v>530</v>
      </c>
      <c r="D238" s="993"/>
      <c r="E238" s="994">
        <v>0.75</v>
      </c>
      <c r="F238" s="994">
        <v>0.75</v>
      </c>
      <c r="G238" s="994">
        <v>0.75</v>
      </c>
      <c r="H238" s="994">
        <v>0.75</v>
      </c>
      <c r="AH238" s="890" t="s">
        <v>534</v>
      </c>
      <c r="AI238" s="996">
        <v>102159150.3966445</v>
      </c>
      <c r="AJ238" s="946">
        <v>0.12558816976103176</v>
      </c>
    </row>
    <row r="239" spans="2:36" outlineLevel="1" x14ac:dyDescent="0.2">
      <c r="B239" s="890" t="s">
        <v>531</v>
      </c>
      <c r="D239" s="993"/>
      <c r="E239" s="994">
        <v>0.25</v>
      </c>
      <c r="F239" s="994">
        <v>0.25</v>
      </c>
      <c r="G239" s="994">
        <v>0.25</v>
      </c>
      <c r="H239" s="994">
        <v>0.25</v>
      </c>
      <c r="AH239" s="890" t="s">
        <v>400</v>
      </c>
      <c r="AI239" s="996">
        <v>813445650.10408366</v>
      </c>
    </row>
    <row r="240" spans="2:36" outlineLevel="1" x14ac:dyDescent="0.2">
      <c r="D240" s="993"/>
      <c r="E240" s="993"/>
      <c r="F240" s="993"/>
      <c r="G240" s="993"/>
      <c r="H240" s="993"/>
    </row>
    <row r="241" spans="2:8" outlineLevel="1" x14ac:dyDescent="0.2">
      <c r="B241" s="997" t="s">
        <v>535</v>
      </c>
      <c r="C241" s="997"/>
      <c r="D241" s="998"/>
      <c r="E241" s="999">
        <v>1559033.7667541944</v>
      </c>
      <c r="F241" s="999">
        <v>1493981.6824322185</v>
      </c>
      <c r="G241" s="999">
        <v>1496829.6320668166</v>
      </c>
      <c r="H241" s="999">
        <v>4207028.8999968357</v>
      </c>
    </row>
    <row r="242" spans="2:8" outlineLevel="1" x14ac:dyDescent="0.2">
      <c r="B242" s="997" t="s">
        <v>536</v>
      </c>
      <c r="C242" s="997"/>
      <c r="D242" s="998"/>
      <c r="E242" s="999">
        <v>27453654.588882912</v>
      </c>
      <c r="F242" s="999">
        <v>31771104.269561686</v>
      </c>
      <c r="G242" s="999">
        <v>163606622.90274552</v>
      </c>
      <c r="H242" s="999">
        <v>30658072.659685533</v>
      </c>
    </row>
    <row r="244" spans="2:8" s="892" customFormat="1" hidden="1" outlineLevel="1" x14ac:dyDescent="0.2">
      <c r="B244" s="891" t="s">
        <v>537</v>
      </c>
    </row>
    <row r="245" spans="2:8" hidden="1" outlineLevel="1" x14ac:dyDescent="0.2"/>
    <row r="246" spans="2:8" hidden="1" outlineLevel="1" x14ac:dyDescent="0.2">
      <c r="B246" s="940"/>
      <c r="C246" s="891">
        <v>2016</v>
      </c>
      <c r="D246" s="891">
        <v>2017</v>
      </c>
      <c r="E246" s="891">
        <v>2018</v>
      </c>
      <c r="F246" s="891">
        <v>2019</v>
      </c>
      <c r="G246" s="891">
        <v>2020</v>
      </c>
      <c r="H246" s="891">
        <v>2021</v>
      </c>
    </row>
    <row r="247" spans="2:8" hidden="1" outlineLevel="1" x14ac:dyDescent="0.2">
      <c r="B247" s="890" t="s">
        <v>471</v>
      </c>
      <c r="C247" s="1000">
        <v>3.5000000000000003E-2</v>
      </c>
      <c r="D247" s="1001">
        <v>3.5000000000000003E-2</v>
      </c>
      <c r="E247" s="1001">
        <v>3.5000000000000003E-2</v>
      </c>
      <c r="F247" s="1001">
        <v>3.5000000000000003E-2</v>
      </c>
      <c r="G247" s="1001">
        <v>3.5000000000000003E-2</v>
      </c>
      <c r="H247" s="1001">
        <v>3.5000000000000003E-2</v>
      </c>
    </row>
    <row r="248" spans="2:8" hidden="1" outlineLevel="1" x14ac:dyDescent="0.2">
      <c r="B248" s="890" t="s">
        <v>473</v>
      </c>
      <c r="C248" s="1000">
        <v>3.5000000000000003E-2</v>
      </c>
      <c r="D248" s="1001">
        <v>3.5000000000000003E-2</v>
      </c>
      <c r="E248" s="1001">
        <v>3.5000000000000003E-2</v>
      </c>
      <c r="F248" s="1001">
        <v>3.5000000000000003E-2</v>
      </c>
      <c r="G248" s="1001">
        <v>3.5000000000000003E-2</v>
      </c>
      <c r="H248" s="1001">
        <v>3.5000000000000003E-2</v>
      </c>
    </row>
    <row r="249" spans="2:8" hidden="1" outlineLevel="1" x14ac:dyDescent="0.2">
      <c r="B249" s="890" t="s">
        <v>460</v>
      </c>
      <c r="C249" s="943"/>
      <c r="D249" s="943">
        <v>0</v>
      </c>
      <c r="E249" s="943">
        <v>0</v>
      </c>
      <c r="F249" s="943">
        <v>0</v>
      </c>
      <c r="G249" s="943">
        <v>0</v>
      </c>
      <c r="H249" s="943">
        <v>0</v>
      </c>
    </row>
    <row r="250" spans="2:8" hidden="1" outlineLevel="1" x14ac:dyDescent="0.2">
      <c r="B250" s="890" t="s">
        <v>461</v>
      </c>
      <c r="C250" s="943"/>
      <c r="D250" s="943">
        <v>0</v>
      </c>
      <c r="E250" s="943">
        <v>0</v>
      </c>
      <c r="F250" s="943">
        <v>0</v>
      </c>
      <c r="G250" s="943">
        <v>0</v>
      </c>
      <c r="H250" s="943">
        <v>0</v>
      </c>
    </row>
    <row r="251" spans="2:8" hidden="1" outlineLevel="1" x14ac:dyDescent="0.2">
      <c r="B251" s="890" t="s">
        <v>462</v>
      </c>
      <c r="C251" s="943"/>
      <c r="D251" s="943">
        <v>0</v>
      </c>
      <c r="E251" s="943">
        <v>0</v>
      </c>
      <c r="F251" s="943">
        <v>0</v>
      </c>
      <c r="G251" s="943">
        <v>0</v>
      </c>
      <c r="H251" s="943">
        <v>0</v>
      </c>
    </row>
    <row r="252" spans="2:8" hidden="1" outlineLevel="1" x14ac:dyDescent="0.2">
      <c r="B252" s="890" t="s">
        <v>474</v>
      </c>
      <c r="C252" s="943"/>
      <c r="D252" s="943"/>
      <c r="E252" s="943"/>
      <c r="F252" s="943"/>
      <c r="G252" s="943"/>
      <c r="H252" s="943"/>
    </row>
    <row r="253" spans="2:8" hidden="1" outlineLevel="1" x14ac:dyDescent="0.2">
      <c r="B253" s="890" t="s">
        <v>463</v>
      </c>
      <c r="C253" s="945">
        <v>0</v>
      </c>
      <c r="D253" s="987">
        <v>0</v>
      </c>
      <c r="E253" s="987">
        <v>0</v>
      </c>
      <c r="F253" s="987">
        <v>0</v>
      </c>
      <c r="G253" s="987">
        <v>0</v>
      </c>
      <c r="H253" s="987">
        <v>0</v>
      </c>
    </row>
    <row r="254" spans="2:8" hidden="1" outlineLevel="1" x14ac:dyDescent="0.2">
      <c r="B254" s="890" t="s">
        <v>464</v>
      </c>
      <c r="C254" s="945">
        <v>0</v>
      </c>
      <c r="D254" s="943">
        <v>0</v>
      </c>
      <c r="E254" s="943">
        <v>0</v>
      </c>
      <c r="F254" s="943">
        <v>0</v>
      </c>
      <c r="G254" s="943">
        <v>0</v>
      </c>
      <c r="H254" s="943">
        <v>0</v>
      </c>
    </row>
    <row r="255" spans="2:8" hidden="1" outlineLevel="1" x14ac:dyDescent="0.2">
      <c r="B255" s="890" t="s">
        <v>465</v>
      </c>
      <c r="C255" s="945">
        <v>0</v>
      </c>
      <c r="D255" s="943">
        <v>0</v>
      </c>
      <c r="E255" s="943">
        <v>0</v>
      </c>
      <c r="F255" s="943">
        <v>0</v>
      </c>
      <c r="G255" s="943">
        <v>0</v>
      </c>
      <c r="H255" s="943">
        <v>0</v>
      </c>
    </row>
    <row r="256" spans="2:8" hidden="1" outlineLevel="1" x14ac:dyDescent="0.2">
      <c r="B256" s="890" t="s">
        <v>466</v>
      </c>
      <c r="C256" s="943">
        <v>0</v>
      </c>
      <c r="D256" s="943">
        <v>0</v>
      </c>
      <c r="E256" s="943">
        <v>0</v>
      </c>
      <c r="F256" s="943">
        <v>0</v>
      </c>
      <c r="G256" s="943">
        <v>0</v>
      </c>
      <c r="H256" s="943">
        <v>0</v>
      </c>
    </row>
    <row r="257" spans="2:8" collapsed="1" x14ac:dyDescent="0.2"/>
    <row r="258" spans="2:8" x14ac:dyDescent="0.2">
      <c r="B258" s="983" t="s">
        <v>538</v>
      </c>
      <c r="C258" s="891">
        <v>2016</v>
      </c>
      <c r="D258" s="891">
        <v>2017</v>
      </c>
      <c r="E258" s="891">
        <v>2018</v>
      </c>
      <c r="F258" s="891">
        <v>2019</v>
      </c>
      <c r="G258" s="891">
        <v>2020</v>
      </c>
      <c r="H258" s="891">
        <v>2021</v>
      </c>
    </row>
    <row r="260" spans="2:8" x14ac:dyDescent="0.2">
      <c r="B260" s="890" t="s">
        <v>539</v>
      </c>
      <c r="C260" s="943">
        <v>716112422.17638183</v>
      </c>
      <c r="D260" s="943">
        <v>716112422.17638183</v>
      </c>
      <c r="E260" s="943">
        <v>716112422.17638183</v>
      </c>
      <c r="F260" s="943">
        <v>716112422.17638183</v>
      </c>
      <c r="G260" s="943">
        <v>716112422.17638183</v>
      </c>
      <c r="H260" s="943">
        <v>716112422.17638183</v>
      </c>
    </row>
    <row r="261" spans="2:8" x14ac:dyDescent="0.2">
      <c r="B261" s="890" t="s">
        <v>540</v>
      </c>
      <c r="C261" s="943">
        <v>60660919.112113275</v>
      </c>
      <c r="D261" s="943">
        <v>60660919.112113275</v>
      </c>
      <c r="E261" s="943">
        <v>60660919.112113275</v>
      </c>
      <c r="F261" s="943">
        <v>60660919.112113275</v>
      </c>
      <c r="G261" s="943">
        <v>60660919.112113275</v>
      </c>
      <c r="H261" s="943">
        <v>60660919.112113275</v>
      </c>
    </row>
    <row r="262" spans="2:8" x14ac:dyDescent="0.2">
      <c r="B262" s="890" t="s">
        <v>541</v>
      </c>
      <c r="C262" s="943">
        <v>36672308.815588608</v>
      </c>
      <c r="D262" s="943">
        <v>36672308.815588608</v>
      </c>
      <c r="E262" s="943">
        <v>36672308.815588608</v>
      </c>
      <c r="F262" s="943">
        <v>36672308.815588608</v>
      </c>
      <c r="G262" s="943">
        <v>36672308.815588608</v>
      </c>
      <c r="H262" s="943">
        <v>36672308.815588608</v>
      </c>
    </row>
    <row r="263" spans="2:8" x14ac:dyDescent="0.2">
      <c r="B263" s="1002" t="s">
        <v>542</v>
      </c>
      <c r="C263" s="1003">
        <v>813445650.10408366</v>
      </c>
      <c r="D263" s="1003">
        <v>813445650.10408366</v>
      </c>
      <c r="E263" s="1003">
        <v>813445650.10408366</v>
      </c>
      <c r="F263" s="1003">
        <v>813445650.10408366</v>
      </c>
      <c r="G263" s="1003">
        <v>813445650.10408366</v>
      </c>
      <c r="H263" s="1003">
        <v>813445650.10408366</v>
      </c>
    </row>
    <row r="264" spans="2:8" hidden="1" x14ac:dyDescent="0.2">
      <c r="B264" s="890" t="s">
        <v>543</v>
      </c>
      <c r="C264" s="943"/>
      <c r="D264" s="943"/>
      <c r="E264" s="943"/>
      <c r="F264" s="943"/>
      <c r="G264" s="943"/>
      <c r="H264" s="943">
        <v>0</v>
      </c>
    </row>
    <row r="265" spans="2:8" x14ac:dyDescent="0.2">
      <c r="B265" s="890" t="s">
        <v>544</v>
      </c>
      <c r="C265" s="943">
        <v>73970944.089778915</v>
      </c>
      <c r="D265" s="943">
        <v>73971728.099511281</v>
      </c>
      <c r="E265" s="943">
        <v>73981975.099511281</v>
      </c>
      <c r="F265" s="943">
        <v>74007143.099511281</v>
      </c>
      <c r="G265" s="943">
        <v>74011212.099511281</v>
      </c>
      <c r="H265" s="943">
        <v>74011212.099511281</v>
      </c>
    </row>
    <row r="266" spans="2:8" x14ac:dyDescent="0.2">
      <c r="B266" s="1004" t="s">
        <v>1</v>
      </c>
      <c r="C266" s="1005">
        <v>887416594.19386256</v>
      </c>
      <c r="D266" s="1005">
        <v>887417378.20359492</v>
      </c>
      <c r="E266" s="1005">
        <v>887427625.20359492</v>
      </c>
      <c r="F266" s="1005">
        <v>887452793.20359492</v>
      </c>
      <c r="G266" s="1005">
        <v>887456862.20359492</v>
      </c>
      <c r="H266" s="1005">
        <v>887456862.20359492</v>
      </c>
    </row>
    <row r="268" spans="2:8" s="892" customFormat="1" x14ac:dyDescent="0.2">
      <c r="B268" s="891" t="s">
        <v>545</v>
      </c>
    </row>
    <row r="269" spans="2:8" ht="15.75" x14ac:dyDescent="0.25">
      <c r="B269" s="1006"/>
      <c r="C269" s="893"/>
      <c r="D269" s="893"/>
      <c r="E269" s="893"/>
      <c r="F269" s="893"/>
    </row>
    <row r="270" spans="2:8" ht="15" x14ac:dyDescent="0.25">
      <c r="B270" s="1007" t="s">
        <v>546</v>
      </c>
      <c r="C270" s="981" t="s">
        <v>547</v>
      </c>
      <c r="D270" s="975">
        <v>13366831.17</v>
      </c>
      <c r="E270" s="893"/>
      <c r="F270" s="893"/>
      <c r="G270" s="893"/>
      <c r="H270" s="893"/>
    </row>
    <row r="271" spans="2:8" ht="15" x14ac:dyDescent="0.25">
      <c r="B271" s="1007" t="s">
        <v>548</v>
      </c>
      <c r="C271" s="981" t="s">
        <v>549</v>
      </c>
      <c r="D271" s="1008">
        <v>1.9476789939701067</v>
      </c>
      <c r="E271" s="893"/>
      <c r="F271" s="893"/>
      <c r="G271" s="893"/>
      <c r="H271" s="904"/>
    </row>
    <row r="272" spans="2:8" ht="15" x14ac:dyDescent="0.25">
      <c r="B272" s="1007" t="s">
        <v>550</v>
      </c>
      <c r="C272" s="981" t="s">
        <v>547</v>
      </c>
      <c r="D272" s="975">
        <v>26034296.285753865</v>
      </c>
      <c r="E272" s="893"/>
      <c r="F272" s="1009"/>
      <c r="G272" s="893"/>
      <c r="H272" s="904"/>
    </row>
    <row r="273" spans="2:8" ht="15" x14ac:dyDescent="0.25">
      <c r="B273" s="1007" t="s">
        <v>551</v>
      </c>
      <c r="C273" s="1010" t="s">
        <v>19</v>
      </c>
      <c r="D273" s="1011">
        <v>0.1</v>
      </c>
      <c r="E273" s="1009"/>
      <c r="F273" s="1009"/>
      <c r="G273" s="893"/>
      <c r="H273" s="904"/>
    </row>
    <row r="274" spans="2:8" ht="15" x14ac:dyDescent="0.25">
      <c r="F274" s="893"/>
      <c r="G274" s="893"/>
      <c r="H274" s="893"/>
    </row>
    <row r="275" spans="2:8" x14ac:dyDescent="0.2">
      <c r="B275" s="983" t="s">
        <v>552</v>
      </c>
      <c r="C275" s="891">
        <v>2016</v>
      </c>
      <c r="D275" s="891">
        <v>2017</v>
      </c>
      <c r="E275" s="891">
        <v>2018</v>
      </c>
      <c r="F275" s="891">
        <v>2019</v>
      </c>
      <c r="G275" s="891">
        <v>2020</v>
      </c>
      <c r="H275" s="891">
        <v>2021</v>
      </c>
    </row>
    <row r="276" spans="2:8" x14ac:dyDescent="0.2">
      <c r="B276" s="938" t="s">
        <v>553</v>
      </c>
      <c r="C276" s="975">
        <v>381041599.13403386</v>
      </c>
      <c r="D276" s="975">
        <v>726521767.1340338</v>
      </c>
      <c r="E276" s="975">
        <v>726521767.1340338</v>
      </c>
      <c r="F276" s="975">
        <v>726521767.1340338</v>
      </c>
      <c r="G276" s="975">
        <v>726521767.1340338</v>
      </c>
      <c r="H276" s="975">
        <v>726521767.1340338</v>
      </c>
    </row>
    <row r="277" spans="2:8" x14ac:dyDescent="0.2">
      <c r="B277" s="938" t="s">
        <v>554</v>
      </c>
      <c r="C277" s="943">
        <v>32277520.829999998</v>
      </c>
      <c r="D277" s="943">
        <v>36757520.829999998</v>
      </c>
      <c r="E277" s="943">
        <v>36218520.829999998</v>
      </c>
      <c r="F277" s="943">
        <v>36265520.829999998</v>
      </c>
      <c r="G277" s="943">
        <v>35688520.829999998</v>
      </c>
      <c r="H277" s="943">
        <v>36244520.829999998</v>
      </c>
    </row>
    <row r="278" spans="2:8" x14ac:dyDescent="0.2">
      <c r="B278" s="938" t="s">
        <v>555</v>
      </c>
      <c r="C278" s="1012">
        <v>8.4708653604632214E-2</v>
      </c>
      <c r="D278" s="1012">
        <v>5.0593832824858381E-2</v>
      </c>
      <c r="E278" s="1013">
        <v>4.9851941770270664E-2</v>
      </c>
      <c r="F278" s="1012">
        <v>4.9916633569093712E-2</v>
      </c>
      <c r="G278" s="1012">
        <v>4.912243850694694E-2</v>
      </c>
      <c r="H278" s="1012">
        <v>4.9887728722811074E-2</v>
      </c>
    </row>
    <row r="279" spans="2:8" x14ac:dyDescent="0.2">
      <c r="B279" s="938" t="s">
        <v>556</v>
      </c>
      <c r="C279" s="943">
        <v>38104159.913403384</v>
      </c>
      <c r="D279" s="943">
        <v>72652176.713403389</v>
      </c>
      <c r="E279" s="943">
        <v>72652176.713403389</v>
      </c>
      <c r="F279" s="943">
        <v>72652176.713403389</v>
      </c>
      <c r="G279" s="943">
        <v>72652176.713403389</v>
      </c>
      <c r="H279" s="943">
        <v>72652176.713403389</v>
      </c>
    </row>
    <row r="280" spans="2:8" x14ac:dyDescent="0.2">
      <c r="B280" s="938" t="s">
        <v>557</v>
      </c>
      <c r="C280" s="943">
        <v>45644352</v>
      </c>
      <c r="D280" s="943">
        <v>50124352</v>
      </c>
      <c r="E280" s="943">
        <v>49585352</v>
      </c>
      <c r="F280" s="943">
        <v>49632352</v>
      </c>
      <c r="G280" s="943">
        <v>49055352</v>
      </c>
      <c r="H280" s="943">
        <v>49611352</v>
      </c>
    </row>
    <row r="281" spans="2:8" x14ac:dyDescent="0.2">
      <c r="B281" s="938" t="s">
        <v>558</v>
      </c>
      <c r="C281" s="1012">
        <v>8.4708653604632214E-2</v>
      </c>
      <c r="D281" s="1012">
        <v>5.0593832824858381E-2</v>
      </c>
      <c r="E281" s="1012">
        <v>4.9851941770270664E-2</v>
      </c>
      <c r="F281" s="1012">
        <v>4.9916633569093712E-2</v>
      </c>
      <c r="G281" s="1012">
        <v>4.912243850694694E-2</v>
      </c>
      <c r="H281" s="1012">
        <v>4.9887728722811074E-2</v>
      </c>
    </row>
    <row r="282" spans="2:8" x14ac:dyDescent="0.2">
      <c r="E282" s="976"/>
    </row>
  </sheetData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-0.249977111117893"/>
  </sheetPr>
  <dimension ref="A1:V97"/>
  <sheetViews>
    <sheetView showGridLines="0" topLeftCell="A54" zoomScale="70" zoomScaleNormal="70" workbookViewId="0">
      <selection activeCell="C43" sqref="C43"/>
    </sheetView>
  </sheetViews>
  <sheetFormatPr baseColWidth="10" defaultColWidth="11.42578125" defaultRowHeight="15" x14ac:dyDescent="0.25"/>
  <cols>
    <col min="1" max="1" width="3.7109375" style="317" customWidth="1" collapsed="1"/>
    <col min="2" max="2" width="28.7109375" style="317" customWidth="1" collapsed="1"/>
    <col min="3" max="8" width="24.85546875" style="317" customWidth="1" collapsed="1"/>
    <col min="9" max="9" width="24.85546875" style="317" customWidth="1"/>
    <col min="10" max="10" width="11.42578125" style="317"/>
    <col min="11" max="11" width="37.42578125" style="317" bestFit="1" customWidth="1" collapsed="1"/>
    <col min="12" max="12" width="14" style="317" customWidth="1" collapsed="1"/>
    <col min="13" max="13" width="29.28515625" style="317" bestFit="1" customWidth="1" collapsed="1"/>
    <col min="14" max="16" width="14" style="317" customWidth="1" collapsed="1"/>
    <col min="17" max="17" width="22.28515625" style="317" customWidth="1" collapsed="1"/>
    <col min="18" max="18" width="16.42578125" style="317" customWidth="1" collapsed="1"/>
    <col min="19" max="19" width="14" style="317" customWidth="1" collapsed="1"/>
    <col min="20" max="21" width="11.42578125" style="317"/>
    <col min="22" max="22" width="20" style="317" customWidth="1"/>
    <col min="23" max="16384" width="11.42578125" style="317"/>
  </cols>
  <sheetData>
    <row r="1" spans="2:19" s="314" customFormat="1" ht="12.75" hidden="1" x14ac:dyDescent="0.2"/>
    <row r="2" spans="2:19" s="314" customFormat="1" ht="12.75" hidden="1" x14ac:dyDescent="0.2"/>
    <row r="3" spans="2:19" s="314" customFormat="1" ht="12.75" hidden="1" x14ac:dyDescent="0.2"/>
    <row r="4" spans="2:19" s="314" customFormat="1" ht="12.75" hidden="1" x14ac:dyDescent="0.2"/>
    <row r="5" spans="2:19" s="314" customFormat="1" ht="12.75" hidden="1" x14ac:dyDescent="0.2"/>
    <row r="6" spans="2:19" s="316" customFormat="1" ht="12.75" x14ac:dyDescent="0.2">
      <c r="B6" s="315" t="s">
        <v>184</v>
      </c>
    </row>
    <row r="7" spans="2:19" x14ac:dyDescent="0.25">
      <c r="Q7" s="318"/>
      <c r="R7" s="318"/>
      <c r="S7" s="318"/>
    </row>
    <row r="8" spans="2:19" x14ac:dyDescent="0.25">
      <c r="B8" s="319" t="s">
        <v>185</v>
      </c>
      <c r="Q8" s="318"/>
      <c r="R8" s="318"/>
      <c r="S8" s="318"/>
    </row>
    <row r="9" spans="2:19" x14ac:dyDescent="0.25">
      <c r="B9" s="317" t="s">
        <v>186</v>
      </c>
      <c r="Q9" s="318"/>
      <c r="R9" s="318"/>
      <c r="S9" s="318"/>
    </row>
    <row r="10" spans="2:19" x14ac:dyDescent="0.25">
      <c r="B10" s="317" t="s">
        <v>187</v>
      </c>
      <c r="Q10" s="318"/>
      <c r="R10" s="318"/>
      <c r="S10" s="318"/>
    </row>
    <row r="11" spans="2:19" x14ac:dyDescent="0.25">
      <c r="B11" s="317" t="s">
        <v>188</v>
      </c>
      <c r="Q11" s="318"/>
      <c r="R11" s="318"/>
      <c r="S11" s="318"/>
    </row>
    <row r="12" spans="2:19" x14ac:dyDescent="0.25">
      <c r="Q12" s="1719" t="s">
        <v>44</v>
      </c>
      <c r="R12" s="1719"/>
      <c r="S12" s="318"/>
    </row>
    <row r="13" spans="2:19" ht="41.25" customHeight="1" thickBot="1" x14ac:dyDescent="0.3">
      <c r="B13" s="320" t="s">
        <v>189</v>
      </c>
      <c r="C13" s="321" t="s">
        <v>190</v>
      </c>
      <c r="D13" s="321" t="s">
        <v>191</v>
      </c>
      <c r="E13" s="320" t="s">
        <v>192</v>
      </c>
      <c r="F13" s="320" t="s">
        <v>193</v>
      </c>
      <c r="G13" s="321" t="s">
        <v>194</v>
      </c>
      <c r="K13" s="322"/>
      <c r="L13" s="322"/>
      <c r="M13" s="322"/>
      <c r="N13" s="320" t="s">
        <v>195</v>
      </c>
      <c r="O13" s="320" t="s">
        <v>196</v>
      </c>
      <c r="P13" s="320" t="s">
        <v>197</v>
      </c>
      <c r="Q13" s="320" t="s">
        <v>198</v>
      </c>
      <c r="R13" s="320" t="s">
        <v>199</v>
      </c>
      <c r="S13" s="320" t="s">
        <v>200</v>
      </c>
    </row>
    <row r="14" spans="2:19" ht="18.75" x14ac:dyDescent="0.3">
      <c r="B14" s="323" t="s">
        <v>201</v>
      </c>
      <c r="C14" s="324">
        <v>37405464.083826393</v>
      </c>
      <c r="D14" s="324">
        <v>13588617.723184085</v>
      </c>
      <c r="E14" s="324">
        <v>68616925.537850052</v>
      </c>
      <c r="F14" s="337">
        <v>50994081.807010479</v>
      </c>
      <c r="G14" s="381">
        <f>(-E14+F14)/E14</f>
        <v>-0.25682939876282518</v>
      </c>
      <c r="H14" s="380"/>
      <c r="I14" s="380"/>
      <c r="K14" s="296"/>
      <c r="L14" s="297" t="s">
        <v>202</v>
      </c>
      <c r="M14" s="298" t="s">
        <v>203</v>
      </c>
      <c r="N14" s="297">
        <v>1976</v>
      </c>
      <c r="O14" s="299">
        <v>68.14</v>
      </c>
      <c r="P14" s="299">
        <v>69.14</v>
      </c>
      <c r="Q14" s="1718">
        <v>20178991.507402539</v>
      </c>
      <c r="R14" s="1718">
        <v>19615932.974096179</v>
      </c>
      <c r="S14" s="1717">
        <v>-2.7903204830618256E-2</v>
      </c>
    </row>
    <row r="15" spans="2:19" ht="18.75" x14ac:dyDescent="0.3">
      <c r="B15" s="323" t="s">
        <v>204</v>
      </c>
      <c r="C15" s="324">
        <v>41362073.788588807</v>
      </c>
      <c r="D15" s="324">
        <v>20315255.794709723</v>
      </c>
      <c r="E15" s="324">
        <v>74612244.638079613</v>
      </c>
      <c r="F15" s="338">
        <v>61677329.583298534</v>
      </c>
      <c r="G15" s="381">
        <f>(-E15+F15)/E15</f>
        <v>-0.1733618271039058</v>
      </c>
      <c r="H15" s="380"/>
      <c r="I15" s="380"/>
      <c r="K15" s="296"/>
      <c r="L15" s="297" t="s">
        <v>205</v>
      </c>
      <c r="M15" s="298" t="s">
        <v>206</v>
      </c>
      <c r="N15" s="297">
        <v>1976</v>
      </c>
      <c r="O15" s="299">
        <v>19</v>
      </c>
      <c r="P15" s="299">
        <v>19</v>
      </c>
      <c r="Q15" s="1718"/>
      <c r="R15" s="1718"/>
      <c r="S15" s="1717"/>
    </row>
    <row r="16" spans="2:19" ht="18.75" x14ac:dyDescent="0.3">
      <c r="B16" s="323" t="s">
        <v>33</v>
      </c>
      <c r="C16" s="324">
        <v>22532435.594892804</v>
      </c>
      <c r="D16" s="325"/>
      <c r="E16" s="324">
        <v>33232565.1076928</v>
      </c>
      <c r="F16" s="338">
        <v>22532435.594892804</v>
      </c>
      <c r="G16" s="381">
        <f t="shared" ref="G16:G30" si="0">(-E16+F16)/E16</f>
        <v>-0.32197723763198438</v>
      </c>
      <c r="H16" s="380"/>
      <c r="I16" s="380"/>
      <c r="K16" s="296"/>
      <c r="L16" s="297" t="s">
        <v>207</v>
      </c>
      <c r="M16" s="298" t="s">
        <v>208</v>
      </c>
      <c r="N16" s="297">
        <v>1976</v>
      </c>
      <c r="O16" s="299">
        <v>59.04</v>
      </c>
      <c r="P16" s="299">
        <v>59.04</v>
      </c>
      <c r="Q16" s="1718"/>
      <c r="R16" s="1718"/>
      <c r="S16" s="1717"/>
    </row>
    <row r="17" spans="2:22" ht="18.75" x14ac:dyDescent="0.3">
      <c r="B17" s="323" t="s">
        <v>209</v>
      </c>
      <c r="C17" s="324">
        <v>13108354.8064976</v>
      </c>
      <c r="D17" s="325"/>
      <c r="E17" s="324">
        <v>16497052.810097599</v>
      </c>
      <c r="F17" s="338">
        <v>13108354.8064976</v>
      </c>
      <c r="G17" s="381">
        <f t="shared" si="0"/>
        <v>-0.20541232683245264</v>
      </c>
      <c r="H17" s="380"/>
      <c r="I17" s="380"/>
      <c r="K17" s="300"/>
      <c r="L17" s="301" t="s">
        <v>210</v>
      </c>
      <c r="M17" s="302" t="s">
        <v>211</v>
      </c>
      <c r="N17" s="301">
        <v>1976</v>
      </c>
      <c r="O17" s="301">
        <v>12.94</v>
      </c>
      <c r="P17" s="301">
        <v>25.88</v>
      </c>
      <c r="Q17" s="326">
        <v>4078818.6468673046</v>
      </c>
      <c r="R17" s="326">
        <v>4485637.8776653893</v>
      </c>
      <c r="S17" s="327">
        <v>9.973947508319303E-2</v>
      </c>
    </row>
    <row r="18" spans="2:22" ht="18.75" x14ac:dyDescent="0.3">
      <c r="B18" s="323" t="s">
        <v>34</v>
      </c>
      <c r="C18" s="324">
        <v>44731071.6358376</v>
      </c>
      <c r="D18" s="325"/>
      <c r="E18" s="324">
        <v>61592028.894437604</v>
      </c>
      <c r="F18" s="338">
        <v>44731071.6358376</v>
      </c>
      <c r="G18" s="381">
        <f t="shared" si="0"/>
        <v>-0.27375226244775847</v>
      </c>
      <c r="H18" s="380"/>
      <c r="I18" s="380"/>
      <c r="K18" s="303"/>
      <c r="L18" s="301" t="s">
        <v>212</v>
      </c>
      <c r="M18" s="302" t="s">
        <v>213</v>
      </c>
      <c r="N18" s="301">
        <v>1978</v>
      </c>
      <c r="O18" s="301">
        <v>40.299999999999997</v>
      </c>
      <c r="P18" s="301">
        <v>80.599999999999994</v>
      </c>
      <c r="Q18" s="326">
        <v>10632028.461915571</v>
      </c>
      <c r="R18" s="326">
        <v>11501137.176232608</v>
      </c>
      <c r="S18" s="327">
        <v>8.1744393125942505E-2</v>
      </c>
    </row>
    <row r="19" spans="2:22" ht="18.75" x14ac:dyDescent="0.3">
      <c r="B19" s="323" t="s">
        <v>214</v>
      </c>
      <c r="C19" s="324">
        <v>31203756.334541604</v>
      </c>
      <c r="D19" s="325"/>
      <c r="E19" s="324">
        <v>43112748.029141612</v>
      </c>
      <c r="F19" s="338">
        <v>31203756.334541604</v>
      </c>
      <c r="G19" s="381">
        <f t="shared" si="0"/>
        <v>-0.27622900972469328</v>
      </c>
      <c r="H19" s="380"/>
      <c r="I19" s="380"/>
      <c r="K19" s="303"/>
      <c r="L19" s="301" t="s">
        <v>215</v>
      </c>
      <c r="M19" s="302" t="s">
        <v>216</v>
      </c>
      <c r="N19" s="301">
        <v>1978</v>
      </c>
      <c r="O19" s="304">
        <v>142.05000000000001</v>
      </c>
      <c r="P19" s="304">
        <v>284.10000000000002</v>
      </c>
      <c r="Q19" s="326">
        <v>38763285.30768653</v>
      </c>
      <c r="R19" s="326">
        <v>40539368.136075482</v>
      </c>
      <c r="S19" s="327">
        <v>4.581868678805634E-2</v>
      </c>
    </row>
    <row r="20" spans="2:22" ht="18.75" x14ac:dyDescent="0.3">
      <c r="B20" s="323" t="s">
        <v>217</v>
      </c>
      <c r="C20" s="324">
        <v>10007215.353196798</v>
      </c>
      <c r="D20" s="325"/>
      <c r="E20" s="324">
        <v>14590210.933996798</v>
      </c>
      <c r="F20" s="338">
        <v>10007215.353196798</v>
      </c>
      <c r="G20" s="381">
        <f t="shared" si="0"/>
        <v>-0.31411441558539199</v>
      </c>
      <c r="H20" s="380"/>
      <c r="I20" s="380"/>
      <c r="K20" s="303" t="s">
        <v>218</v>
      </c>
      <c r="L20" s="301" t="s">
        <v>219</v>
      </c>
      <c r="M20" s="302" t="s">
        <v>220</v>
      </c>
      <c r="N20" s="301">
        <v>1978</v>
      </c>
      <c r="O20" s="305">
        <v>110.21</v>
      </c>
      <c r="P20" s="301">
        <v>220.42</v>
      </c>
      <c r="Q20" s="326">
        <v>28995449.928444628</v>
      </c>
      <c r="R20" s="326">
        <v>31452613.602793947</v>
      </c>
      <c r="S20" s="327">
        <v>8.4743077979929415E-2</v>
      </c>
    </row>
    <row r="21" spans="2:22" ht="18.75" x14ac:dyDescent="0.3">
      <c r="B21" s="323" t="s">
        <v>221</v>
      </c>
      <c r="C21" s="324">
        <v>27734857.365010396</v>
      </c>
      <c r="D21" s="324">
        <v>4656542.4821562013</v>
      </c>
      <c r="E21" s="324">
        <v>40191969.881577902</v>
      </c>
      <c r="F21" s="338">
        <v>32391399.847166598</v>
      </c>
      <c r="G21" s="381">
        <f t="shared" si="0"/>
        <v>-0.19408279955909094</v>
      </c>
      <c r="H21" s="380"/>
      <c r="I21" s="380"/>
      <c r="K21" s="303" t="s">
        <v>222</v>
      </c>
      <c r="L21" s="301" t="s">
        <v>223</v>
      </c>
      <c r="M21" s="302" t="s">
        <v>224</v>
      </c>
      <c r="N21" s="301">
        <v>1979</v>
      </c>
      <c r="O21" s="301">
        <v>84.49</v>
      </c>
      <c r="P21" s="301">
        <v>168.98</v>
      </c>
      <c r="Q21" s="326">
        <v>23033335.506339651</v>
      </c>
      <c r="R21" s="326">
        <v>24112433.747391887</v>
      </c>
      <c r="S21" s="327">
        <v>4.6849412702525406E-2</v>
      </c>
    </row>
    <row r="22" spans="2:22" ht="18.75" x14ac:dyDescent="0.3">
      <c r="B22" s="323" t="s">
        <v>36</v>
      </c>
      <c r="C22" s="324">
        <v>13113560.5782624</v>
      </c>
      <c r="D22" s="325"/>
      <c r="E22" s="324">
        <v>15890545.188662399</v>
      </c>
      <c r="F22" s="338">
        <v>13113560.5782624</v>
      </c>
      <c r="G22" s="381">
        <f t="shared" si="0"/>
        <v>-0.17475703806445383</v>
      </c>
      <c r="H22" s="380"/>
      <c r="I22" s="380"/>
      <c r="K22" s="306"/>
      <c r="L22" s="301" t="s">
        <v>225</v>
      </c>
      <c r="M22" s="302" t="s">
        <v>226</v>
      </c>
      <c r="N22" s="301">
        <v>1984</v>
      </c>
      <c r="O22" s="307">
        <v>37.5</v>
      </c>
      <c r="P22" s="307">
        <v>75</v>
      </c>
      <c r="Q22" s="326">
        <v>10223104.290303431</v>
      </c>
      <c r="R22" s="326">
        <v>10702050.722300813</v>
      </c>
      <c r="S22" s="327">
        <v>4.6849412702525184E-2</v>
      </c>
    </row>
    <row r="23" spans="2:22" ht="18.75" x14ac:dyDescent="0.3">
      <c r="B23" s="323" t="s">
        <v>227</v>
      </c>
      <c r="C23" s="324">
        <v>3790117.9258488007</v>
      </c>
      <c r="D23" s="325"/>
      <c r="E23" s="324">
        <v>5435918.2456487995</v>
      </c>
      <c r="F23" s="338">
        <v>3790117.9258488007</v>
      </c>
      <c r="G23" s="381">
        <f t="shared" si="0"/>
        <v>-0.30276399412691418</v>
      </c>
      <c r="H23" s="380"/>
      <c r="I23" s="380"/>
      <c r="K23" s="306"/>
      <c r="L23" s="301" t="s">
        <v>228</v>
      </c>
      <c r="M23" s="302" t="s">
        <v>229</v>
      </c>
      <c r="N23" s="301">
        <v>2006</v>
      </c>
      <c r="O23" s="307">
        <v>194.5</v>
      </c>
      <c r="P23" s="307">
        <v>389</v>
      </c>
      <c r="Q23" s="326">
        <v>64592068.150675535</v>
      </c>
      <c r="R23" s="326">
        <v>66942636.108853683</v>
      </c>
      <c r="S23" s="327">
        <v>3.6390969130991824E-2</v>
      </c>
    </row>
    <row r="24" spans="2:22" ht="18.75" x14ac:dyDescent="0.3">
      <c r="B24" s="323" t="s">
        <v>230</v>
      </c>
      <c r="C24" s="324">
        <v>3790117.9258488007</v>
      </c>
      <c r="D24" s="325"/>
      <c r="E24" s="324">
        <v>5435918.2456487995</v>
      </c>
      <c r="F24" s="338">
        <v>3790117.9258488007</v>
      </c>
      <c r="G24" s="381">
        <f t="shared" si="0"/>
        <v>-0.30276399412691418</v>
      </c>
      <c r="H24" s="380"/>
      <c r="I24" s="380"/>
      <c r="K24" s="306"/>
      <c r="L24" s="301" t="s">
        <v>231</v>
      </c>
      <c r="M24" s="302" t="s">
        <v>232</v>
      </c>
      <c r="N24" s="301">
        <v>2004</v>
      </c>
      <c r="O24" s="308">
        <v>110.21</v>
      </c>
      <c r="P24" s="307">
        <v>220.14</v>
      </c>
      <c r="Q24" s="326">
        <v>36459738.160742849</v>
      </c>
      <c r="R24" s="326">
        <v>37786543.366674483</v>
      </c>
      <c r="S24" s="327">
        <v>3.6390969130991824E-2</v>
      </c>
    </row>
    <row r="25" spans="2:22" ht="18.75" x14ac:dyDescent="0.3">
      <c r="B25" s="323" t="s">
        <v>233</v>
      </c>
      <c r="C25" s="324">
        <v>4162777.6088807988</v>
      </c>
      <c r="D25" s="325"/>
      <c r="E25" s="324">
        <v>6196967.3846807992</v>
      </c>
      <c r="F25" s="338">
        <v>4162777.6088807988</v>
      </c>
      <c r="G25" s="381">
        <f t="shared" si="0"/>
        <v>-0.32825568532579585</v>
      </c>
      <c r="H25" s="380"/>
      <c r="I25" s="380"/>
      <c r="K25" s="306"/>
      <c r="L25" s="301" t="s">
        <v>234</v>
      </c>
      <c r="M25" s="302" t="s">
        <v>235</v>
      </c>
      <c r="N25" s="301">
        <v>2004</v>
      </c>
      <c r="O25" s="307">
        <v>84.3</v>
      </c>
      <c r="P25" s="307">
        <v>168.6</v>
      </c>
      <c r="Q25" s="326">
        <v>27923647.923599739</v>
      </c>
      <c r="R25" s="326">
        <v>28939816.533212133</v>
      </c>
      <c r="S25" s="327">
        <v>3.6390969130991602E-2</v>
      </c>
    </row>
    <row r="26" spans="2:22" ht="18.75" x14ac:dyDescent="0.3">
      <c r="B26" s="323" t="s">
        <v>236</v>
      </c>
      <c r="C26" s="324">
        <v>16404172.282217599</v>
      </c>
      <c r="D26" s="325"/>
      <c r="E26" s="324">
        <v>19938516.331817597</v>
      </c>
      <c r="F26" s="338">
        <v>16404172.282217599</v>
      </c>
      <c r="G26" s="381">
        <f t="shared" si="0"/>
        <v>-0.177262138806183</v>
      </c>
      <c r="H26" s="380"/>
      <c r="I26" s="380"/>
      <c r="K26" s="306"/>
      <c r="L26" s="301" t="s">
        <v>237</v>
      </c>
      <c r="M26" s="302" t="s">
        <v>238</v>
      </c>
      <c r="N26" s="301">
        <v>2003</v>
      </c>
      <c r="O26" s="307">
        <v>16</v>
      </c>
      <c r="P26" s="307">
        <v>16</v>
      </c>
      <c r="Q26" s="326">
        <v>5299862.0021067131</v>
      </c>
      <c r="R26" s="326">
        <v>5752657.6915120855</v>
      </c>
      <c r="S26" s="327">
        <v>8.5435373454135988E-2</v>
      </c>
    </row>
    <row r="27" spans="2:22" ht="18.75" x14ac:dyDescent="0.3">
      <c r="B27" s="323" t="s">
        <v>239</v>
      </c>
      <c r="C27" s="328"/>
      <c r="D27" s="324">
        <v>7245345.3380341688</v>
      </c>
      <c r="E27" s="324">
        <v>10181907.355355907</v>
      </c>
      <c r="F27" s="338">
        <v>7245345.3380341688</v>
      </c>
      <c r="G27" s="381">
        <f t="shared" si="0"/>
        <v>-0.28840981506053892</v>
      </c>
      <c r="H27" s="380"/>
      <c r="I27" s="380"/>
      <c r="K27" s="306"/>
      <c r="L27" s="297" t="s">
        <v>240</v>
      </c>
      <c r="M27" s="298" t="s">
        <v>241</v>
      </c>
      <c r="N27" s="297">
        <v>2009</v>
      </c>
      <c r="O27" s="309">
        <v>96.87</v>
      </c>
      <c r="P27" s="309">
        <v>96.87</v>
      </c>
      <c r="Q27" s="1718">
        <v>28532002.533950865</v>
      </c>
      <c r="R27" s="1718">
        <v>32605126.716392029</v>
      </c>
      <c r="S27" s="1717">
        <v>0.14275633747033578</v>
      </c>
    </row>
    <row r="28" spans="2:22" ht="18.75" x14ac:dyDescent="0.3">
      <c r="B28" s="323" t="s">
        <v>242</v>
      </c>
      <c r="C28" s="328"/>
      <c r="D28" s="324">
        <v>7599449.3387019495</v>
      </c>
      <c r="E28" s="324">
        <v>11419481.27374934</v>
      </c>
      <c r="F28" s="338">
        <v>7599449.3387019495</v>
      </c>
      <c r="G28" s="381">
        <f t="shared" si="0"/>
        <v>-0.33451886679202597</v>
      </c>
      <c r="H28" s="380"/>
      <c r="I28" s="380"/>
      <c r="K28" s="306"/>
      <c r="L28" s="297" t="s">
        <v>243</v>
      </c>
      <c r="M28" s="298" t="s">
        <v>244</v>
      </c>
      <c r="N28" s="297">
        <v>2009</v>
      </c>
      <c r="O28" s="309">
        <v>24.88</v>
      </c>
      <c r="P28" s="309">
        <v>24.88</v>
      </c>
      <c r="Q28" s="1718"/>
      <c r="R28" s="1718"/>
      <c r="S28" s="1717"/>
    </row>
    <row r="29" spans="2:22" ht="18.75" x14ac:dyDescent="0.3">
      <c r="B29" s="323" t="s">
        <v>245</v>
      </c>
      <c r="C29" s="328"/>
      <c r="D29" s="324">
        <v>4499316.532399972</v>
      </c>
      <c r="E29" s="324">
        <v>6578909.8799312757</v>
      </c>
      <c r="F29" s="338">
        <v>4499316.532399972</v>
      </c>
      <c r="G29" s="381">
        <f t="shared" si="0"/>
        <v>-0.31609999004166744</v>
      </c>
      <c r="H29" s="380"/>
      <c r="I29" s="380"/>
      <c r="K29" s="306"/>
      <c r="L29" s="297" t="s">
        <v>246</v>
      </c>
      <c r="M29" s="298" t="s">
        <v>247</v>
      </c>
      <c r="N29" s="297">
        <v>2012</v>
      </c>
      <c r="O29" s="309">
        <v>44</v>
      </c>
      <c r="P29" s="309">
        <v>44</v>
      </c>
      <c r="Q29" s="1718"/>
      <c r="R29" s="1718"/>
      <c r="S29" s="1717"/>
    </row>
    <row r="30" spans="2:22" ht="19.5" thickBot="1" x14ac:dyDescent="0.35">
      <c r="B30" s="329" t="s">
        <v>12</v>
      </c>
      <c r="C30" s="330">
        <v>269345975.28345037</v>
      </c>
      <c r="D30" s="330">
        <v>57904527.209186099</v>
      </c>
      <c r="E30" s="330">
        <v>433523909.73836899</v>
      </c>
      <c r="F30" s="340">
        <v>327250502.4926365</v>
      </c>
      <c r="G30" s="381">
        <f t="shared" si="0"/>
        <v>-0.24513851452822596</v>
      </c>
      <c r="H30" s="380"/>
      <c r="I30" s="380"/>
      <c r="K30" s="306"/>
      <c r="L30" s="297" t="s">
        <v>248</v>
      </c>
      <c r="M30" s="298" t="s">
        <v>249</v>
      </c>
      <c r="N30" s="297">
        <v>2012</v>
      </c>
      <c r="O30" s="309">
        <v>76.650000000000006</v>
      </c>
      <c r="P30" s="309">
        <v>76.650000000000006</v>
      </c>
      <c r="Q30" s="1718"/>
      <c r="R30" s="1718"/>
      <c r="S30" s="1717"/>
    </row>
    <row r="31" spans="2:22" ht="15.75" thickBot="1" x14ac:dyDescent="0.3">
      <c r="K31" s="331"/>
      <c r="L31" s="331"/>
      <c r="M31" s="303" t="s">
        <v>12</v>
      </c>
      <c r="N31" s="303"/>
      <c r="O31" s="310">
        <v>1221.0800000000002</v>
      </c>
      <c r="P31" s="310">
        <v>2038.2999999999997</v>
      </c>
      <c r="Q31" s="310">
        <v>298712332.42003536</v>
      </c>
      <c r="R31" s="368">
        <v>314435954.65320075</v>
      </c>
      <c r="S31" s="333">
        <v>5.26380082997564E-2</v>
      </c>
      <c r="V31" s="366">
        <f>+Q31+Q41+Q49+Q59</f>
        <v>354650960.4642846</v>
      </c>
    </row>
    <row r="32" spans="2:22" ht="48" customHeight="1" thickBot="1" x14ac:dyDescent="0.3">
      <c r="B32" s="320" t="s">
        <v>250</v>
      </c>
      <c r="C32" s="321" t="s">
        <v>190</v>
      </c>
      <c r="D32" s="321" t="s">
        <v>191</v>
      </c>
      <c r="E32" s="320" t="s">
        <v>251</v>
      </c>
      <c r="F32" s="320" t="s">
        <v>252</v>
      </c>
      <c r="G32" s="321" t="s">
        <v>194</v>
      </c>
      <c r="K32" s="311" t="s">
        <v>253</v>
      </c>
    </row>
    <row r="33" spans="2:19" ht="18.75" x14ac:dyDescent="0.3">
      <c r="B33" s="323" t="s">
        <v>245</v>
      </c>
      <c r="C33" s="325"/>
      <c r="D33" s="324">
        <v>2272541.9264572496</v>
      </c>
      <c r="E33" s="324">
        <v>2272541.9264572496</v>
      </c>
      <c r="F33" s="337">
        <v>2272541.9264572496</v>
      </c>
      <c r="G33" s="381">
        <f t="shared" ref="G33:G36" si="1">(-E33+F33)/E33</f>
        <v>0</v>
      </c>
      <c r="H33" s="380"/>
      <c r="I33" s="380"/>
      <c r="K33" s="334" t="s">
        <v>254</v>
      </c>
    </row>
    <row r="34" spans="2:19" ht="18.75" x14ac:dyDescent="0.3">
      <c r="B34" s="323" t="s">
        <v>255</v>
      </c>
      <c r="C34" s="324">
        <v>17641747.575236522</v>
      </c>
      <c r="D34" s="325"/>
      <c r="E34" s="324">
        <v>22064532.505436514</v>
      </c>
      <c r="F34" s="338">
        <v>17641747.575236522</v>
      </c>
      <c r="G34" s="381">
        <f t="shared" si="1"/>
        <v>-0.20044770625030262</v>
      </c>
      <c r="H34" s="380"/>
      <c r="I34" s="380"/>
      <c r="Q34" s="1719" t="s">
        <v>44</v>
      </c>
      <c r="R34" s="1719"/>
    </row>
    <row r="35" spans="2:19" ht="30" x14ac:dyDescent="0.3">
      <c r="B35" s="323" t="s">
        <v>256</v>
      </c>
      <c r="C35" s="324">
        <v>16758019.313894842</v>
      </c>
      <c r="D35" s="325"/>
      <c r="E35" s="324">
        <v>21486660.940694839</v>
      </c>
      <c r="F35" s="338">
        <v>16758019.313894842</v>
      </c>
      <c r="G35" s="381">
        <f t="shared" si="1"/>
        <v>-0.22007335806393943</v>
      </c>
      <c r="H35" s="380"/>
      <c r="I35" s="380"/>
      <c r="K35" s="322"/>
      <c r="L35" s="322"/>
      <c r="M35" s="322"/>
      <c r="N35" s="320" t="s">
        <v>195</v>
      </c>
      <c r="O35" s="320" t="s">
        <v>196</v>
      </c>
      <c r="P35" s="320" t="s">
        <v>197</v>
      </c>
      <c r="Q35" s="320" t="s">
        <v>198</v>
      </c>
      <c r="R35" s="320" t="s">
        <v>199</v>
      </c>
      <c r="S35" s="320" t="s">
        <v>200</v>
      </c>
    </row>
    <row r="36" spans="2:19" ht="19.5" thickBot="1" x14ac:dyDescent="0.35">
      <c r="B36" s="329" t="s">
        <v>12</v>
      </c>
      <c r="C36" s="330">
        <v>34399766.889131367</v>
      </c>
      <c r="D36" s="330">
        <v>2272541.9264572496</v>
      </c>
      <c r="E36" s="330">
        <v>45823735.372588605</v>
      </c>
      <c r="F36" s="340">
        <v>36672308.815588608</v>
      </c>
      <c r="G36" s="381">
        <f t="shared" si="1"/>
        <v>-0.19970930965340522</v>
      </c>
      <c r="H36" s="380"/>
      <c r="I36" s="380"/>
      <c r="K36" s="312"/>
      <c r="L36" s="301" t="s">
        <v>257</v>
      </c>
      <c r="M36" s="302" t="s">
        <v>258</v>
      </c>
      <c r="N36" s="335">
        <v>1986</v>
      </c>
      <c r="O36" s="335">
        <v>24.33</v>
      </c>
      <c r="P36" s="336">
        <v>24</v>
      </c>
      <c r="Q36" s="326">
        <v>4948369.6454140339</v>
      </c>
      <c r="R36" s="326">
        <v>5128803.6307843197</v>
      </c>
      <c r="S36" s="327">
        <v>3.6463319901233637E-2</v>
      </c>
    </row>
    <row r="37" spans="2:19" x14ac:dyDescent="0.25">
      <c r="K37" s="303" t="s">
        <v>218</v>
      </c>
      <c r="L37" s="301" t="s">
        <v>259</v>
      </c>
      <c r="M37" s="302" t="s">
        <v>260</v>
      </c>
      <c r="N37" s="335">
        <v>1986</v>
      </c>
      <c r="O37" s="335">
        <v>29.75</v>
      </c>
      <c r="P37" s="336">
        <v>29.7</v>
      </c>
      <c r="Q37" s="326">
        <v>4948369.6454140339</v>
      </c>
      <c r="R37" s="326">
        <v>5128803.6307843197</v>
      </c>
      <c r="S37" s="327">
        <v>3.6463319901233637E-2</v>
      </c>
    </row>
    <row r="38" spans="2:19" ht="30.75" thickBot="1" x14ac:dyDescent="0.3">
      <c r="B38" s="320" t="s">
        <v>261</v>
      </c>
      <c r="C38" s="320" t="s">
        <v>262</v>
      </c>
      <c r="D38" s="320" t="s">
        <v>263</v>
      </c>
      <c r="E38" s="320" t="s">
        <v>264</v>
      </c>
      <c r="F38" s="320" t="s">
        <v>265</v>
      </c>
      <c r="G38" s="320" t="s">
        <v>266</v>
      </c>
      <c r="H38" s="321" t="s">
        <v>194</v>
      </c>
      <c r="I38" s="321"/>
      <c r="K38" s="303" t="s">
        <v>267</v>
      </c>
      <c r="L38" s="301" t="s">
        <v>268</v>
      </c>
      <c r="M38" s="302" t="s">
        <v>269</v>
      </c>
      <c r="N38" s="335">
        <v>1986</v>
      </c>
      <c r="O38" s="336">
        <v>9.5</v>
      </c>
      <c r="P38" s="336">
        <v>9.6999999999999993</v>
      </c>
      <c r="Q38" s="326">
        <v>1777747.6133524487</v>
      </c>
      <c r="R38" s="326">
        <v>1842570.1932817737</v>
      </c>
      <c r="S38" s="327">
        <v>3.6463319901233637E-2</v>
      </c>
    </row>
    <row r="39" spans="2:19" ht="18.75" x14ac:dyDescent="0.3">
      <c r="B39" s="323" t="s">
        <v>33</v>
      </c>
      <c r="C39" s="324">
        <v>22553196.009444006</v>
      </c>
      <c r="D39" s="325"/>
      <c r="E39" s="324">
        <v>7823279.1405278025</v>
      </c>
      <c r="F39" s="324">
        <f t="shared" ref="F39:F45" si="2">SUM(C39:E39)</f>
        <v>30376475.149971809</v>
      </c>
      <c r="G39" s="337">
        <v>27047086.114971805</v>
      </c>
      <c r="H39" s="381">
        <f t="shared" ref="H39:H46" si="3">(-F39+G39)/F39</f>
        <v>-0.10960419267088972</v>
      </c>
      <c r="I39" s="381"/>
      <c r="J39" s="380"/>
      <c r="K39" s="300"/>
      <c r="L39" s="301" t="s">
        <v>270</v>
      </c>
      <c r="M39" s="302" t="s">
        <v>271</v>
      </c>
      <c r="N39" s="335">
        <v>2011</v>
      </c>
      <c r="O39" s="336">
        <v>15</v>
      </c>
      <c r="P39" s="336">
        <v>15</v>
      </c>
      <c r="Q39" s="326">
        <v>2749094.2474522404</v>
      </c>
      <c r="R39" s="326">
        <v>2849335.3504357324</v>
      </c>
      <c r="S39" s="327">
        <v>3.6463319901233637E-2</v>
      </c>
    </row>
    <row r="40" spans="2:19" ht="19.5" thickBot="1" x14ac:dyDescent="0.35">
      <c r="B40" s="323" t="s">
        <v>272</v>
      </c>
      <c r="C40" s="324">
        <v>3497718.9238991998</v>
      </c>
      <c r="D40" s="325"/>
      <c r="E40" s="325"/>
      <c r="F40" s="324">
        <f t="shared" si="2"/>
        <v>3497718.9238991998</v>
      </c>
      <c r="G40" s="338">
        <v>2303421.3466992001</v>
      </c>
      <c r="H40" s="381">
        <f t="shared" si="3"/>
        <v>-0.34145041473733295</v>
      </c>
      <c r="I40" s="381"/>
      <c r="J40" s="380"/>
      <c r="K40" s="313"/>
      <c r="L40" s="301" t="s">
        <v>273</v>
      </c>
      <c r="M40" s="302" t="s">
        <v>274</v>
      </c>
      <c r="N40" s="335"/>
      <c r="O40" s="335"/>
      <c r="P40" s="336"/>
      <c r="Q40" s="326"/>
      <c r="R40" s="326"/>
      <c r="S40" s="339"/>
    </row>
    <row r="41" spans="2:19" ht="19.5" thickBot="1" x14ac:dyDescent="0.35">
      <c r="B41" s="323" t="s">
        <v>34</v>
      </c>
      <c r="C41" s="324">
        <v>15545375.418864001</v>
      </c>
      <c r="D41" s="324">
        <v>6533160.7292674826</v>
      </c>
      <c r="E41" s="885">
        <v>1966098.9783451543</v>
      </c>
      <c r="F41" s="324">
        <f t="shared" si="2"/>
        <v>24044635.126476638</v>
      </c>
      <c r="G41" s="338">
        <v>21965041.778945301</v>
      </c>
      <c r="H41" s="381">
        <f t="shared" si="3"/>
        <v>-8.6488871076334309E-2</v>
      </c>
      <c r="I41" s="381"/>
      <c r="J41" s="380"/>
      <c r="K41" s="331"/>
      <c r="L41" s="331"/>
      <c r="M41" s="303"/>
      <c r="N41" s="303"/>
      <c r="O41" s="310">
        <v>78.58</v>
      </c>
      <c r="P41" s="310">
        <v>78.400000000000006</v>
      </c>
      <c r="Q41" s="310">
        <v>14423581.151632756</v>
      </c>
      <c r="R41" s="368">
        <v>14949512.805286145</v>
      </c>
      <c r="S41" s="333">
        <v>3.6463319901233637E-2</v>
      </c>
    </row>
    <row r="42" spans="2:19" ht="18.75" x14ac:dyDescent="0.3">
      <c r="B42" s="323" t="s">
        <v>221</v>
      </c>
      <c r="C42" s="325"/>
      <c r="D42" s="325"/>
      <c r="E42" s="324">
        <v>5651072.8711218843</v>
      </c>
      <c r="F42" s="324">
        <f t="shared" si="2"/>
        <v>5651072.8711218843</v>
      </c>
      <c r="G42" s="338">
        <v>5651072.8711218843</v>
      </c>
      <c r="H42" s="381">
        <f t="shared" si="3"/>
        <v>0</v>
      </c>
      <c r="I42" s="381"/>
      <c r="J42" s="380"/>
      <c r="K42" s="334" t="s">
        <v>254</v>
      </c>
    </row>
    <row r="43" spans="2:19" ht="18.75" x14ac:dyDescent="0.3">
      <c r="B43" s="323" t="s">
        <v>36</v>
      </c>
      <c r="C43" s="325"/>
      <c r="D43" s="324">
        <v>1201862.5652256412</v>
      </c>
      <c r="E43" s="324">
        <v>4124071.523175756</v>
      </c>
      <c r="F43" s="324">
        <f t="shared" si="2"/>
        <v>5325934.0884013977</v>
      </c>
      <c r="G43" s="338">
        <v>4964446.9346661791</v>
      </c>
      <c r="H43" s="381">
        <f t="shared" si="3"/>
        <v>-6.7873005511361953E-2</v>
      </c>
      <c r="I43" s="381"/>
      <c r="J43" s="380"/>
      <c r="Q43" s="1719" t="s">
        <v>44</v>
      </c>
      <c r="R43" s="1719"/>
    </row>
    <row r="44" spans="2:19" ht="30" x14ac:dyDescent="0.3">
      <c r="B44" s="323" t="s">
        <v>236</v>
      </c>
      <c r="C44" s="325"/>
      <c r="D44" s="324">
        <v>149234.44478002368</v>
      </c>
      <c r="E44" s="885">
        <v>1784882.6666695022</v>
      </c>
      <c r="F44" s="324">
        <f t="shared" si="2"/>
        <v>1934117.1114495259</v>
      </c>
      <c r="G44" s="338">
        <v>1934117.1114495259</v>
      </c>
      <c r="H44" s="381">
        <f t="shared" si="3"/>
        <v>0</v>
      </c>
      <c r="I44" s="381"/>
      <c r="J44" s="380"/>
      <c r="K44" s="322"/>
      <c r="L44" s="322"/>
      <c r="M44" s="322"/>
      <c r="N44" s="320" t="s">
        <v>195</v>
      </c>
      <c r="O44" s="320" t="s">
        <v>196</v>
      </c>
      <c r="P44" s="320" t="s">
        <v>197</v>
      </c>
      <c r="Q44" s="320" t="s">
        <v>198</v>
      </c>
      <c r="R44" s="320" t="s">
        <v>199</v>
      </c>
      <c r="S44" s="320" t="s">
        <v>200</v>
      </c>
    </row>
    <row r="45" spans="2:19" ht="18.75" x14ac:dyDescent="0.3">
      <c r="B45" s="323" t="s">
        <v>275</v>
      </c>
      <c r="C45" s="328"/>
      <c r="D45" s="324">
        <v>1736434.7500500004</v>
      </c>
      <c r="E45" s="325"/>
      <c r="F45" s="324">
        <f t="shared" si="2"/>
        <v>1736434.7500500004</v>
      </c>
      <c r="G45" s="338">
        <v>1736434.7500500004</v>
      </c>
      <c r="H45" s="381">
        <f t="shared" si="3"/>
        <v>0</v>
      </c>
      <c r="I45" s="381"/>
      <c r="J45" s="380"/>
      <c r="K45" s="312"/>
      <c r="L45" s="301" t="s">
        <v>276</v>
      </c>
      <c r="M45" s="317" t="s">
        <v>277</v>
      </c>
      <c r="N45" s="335">
        <v>2016</v>
      </c>
      <c r="O45" s="335">
        <v>46.6</v>
      </c>
      <c r="P45" s="336">
        <v>93.2</v>
      </c>
      <c r="Q45" s="326">
        <v>13311816.925017213</v>
      </c>
      <c r="R45" s="326">
        <v>12186808.929822883</v>
      </c>
      <c r="S45" s="327">
        <v>-8.4511979208493848E-2</v>
      </c>
    </row>
    <row r="46" spans="2:19" ht="19.5" thickBot="1" x14ac:dyDescent="0.35">
      <c r="B46" s="329" t="s">
        <v>12</v>
      </c>
      <c r="C46" s="330">
        <f>SUM(C39:C45)</f>
        <v>41596290.352207206</v>
      </c>
      <c r="D46" s="330">
        <f>SUM(D39:D45)</f>
        <v>9620692.4893231485</v>
      </c>
      <c r="E46" s="330">
        <f>SUM(E39:E45)</f>
        <v>21349405.179840103</v>
      </c>
      <c r="F46" s="330">
        <f>SUM(F39:F45)</f>
        <v>72566388.021370441</v>
      </c>
      <c r="G46" s="340">
        <v>65601620.907903925</v>
      </c>
      <c r="H46" s="381">
        <f t="shared" si="3"/>
        <v>-9.5977866659360617E-2</v>
      </c>
      <c r="I46" s="381"/>
      <c r="J46" s="380"/>
      <c r="K46" s="303" t="s">
        <v>278</v>
      </c>
      <c r="L46" s="301" t="s">
        <v>279</v>
      </c>
      <c r="M46" s="317" t="s">
        <v>280</v>
      </c>
      <c r="N46" s="335">
        <v>2004</v>
      </c>
      <c r="O46" s="335">
        <v>6.2</v>
      </c>
      <c r="P46" s="336">
        <v>12.4</v>
      </c>
      <c r="Q46" s="326">
        <v>1499495.5614880177</v>
      </c>
      <c r="R46" s="326">
        <v>1957816.7178985234</v>
      </c>
      <c r="S46" s="327">
        <v>0.30565022543694154</v>
      </c>
    </row>
    <row r="47" spans="2:19" x14ac:dyDescent="0.25">
      <c r="K47" s="303" t="s">
        <v>222</v>
      </c>
      <c r="L47" s="301" t="s">
        <v>281</v>
      </c>
      <c r="M47" s="317" t="s">
        <v>282</v>
      </c>
      <c r="N47" s="335">
        <v>1979</v>
      </c>
      <c r="O47" s="336">
        <v>25</v>
      </c>
      <c r="P47" s="336">
        <v>50</v>
      </c>
      <c r="Q47" s="326">
        <v>6046353.0705161979</v>
      </c>
      <c r="R47" s="326">
        <v>6537987.6232955391</v>
      </c>
      <c r="S47" s="327">
        <v>8.1310923633734822E-2</v>
      </c>
    </row>
    <row r="48" spans="2:19" ht="15.75" thickBot="1" x14ac:dyDescent="0.3">
      <c r="K48" s="300"/>
      <c r="L48" s="301" t="s">
        <v>283</v>
      </c>
      <c r="M48" s="317" t="s">
        <v>284</v>
      </c>
      <c r="N48" s="335">
        <v>1972</v>
      </c>
      <c r="O48" s="336">
        <v>111.4</v>
      </c>
      <c r="P48" s="336">
        <v>111.4</v>
      </c>
      <c r="Q48" s="326">
        <v>13060122.632314991</v>
      </c>
      <c r="R48" s="326">
        <v>17051952.05911617</v>
      </c>
      <c r="S48" s="327">
        <v>0.30565022543694154</v>
      </c>
    </row>
    <row r="49" spans="2:19" ht="30.75" thickBot="1" x14ac:dyDescent="0.3">
      <c r="B49" s="320" t="s">
        <v>261</v>
      </c>
      <c r="C49" s="320" t="s">
        <v>262</v>
      </c>
      <c r="D49" s="320" t="s">
        <v>263</v>
      </c>
      <c r="E49" s="320" t="s">
        <v>264</v>
      </c>
      <c r="F49" s="320" t="s">
        <v>265</v>
      </c>
      <c r="G49" s="320" t="s">
        <v>266</v>
      </c>
      <c r="H49" s="321" t="s">
        <v>194</v>
      </c>
      <c r="I49" s="321" t="s">
        <v>332</v>
      </c>
      <c r="K49" s="331"/>
      <c r="L49" s="331"/>
      <c r="M49" s="303"/>
      <c r="N49" s="303"/>
      <c r="O49" s="310">
        <v>189.20000000000002</v>
      </c>
      <c r="P49" s="310">
        <v>267</v>
      </c>
      <c r="Q49" s="310">
        <v>33917788.189336419</v>
      </c>
      <c r="R49" s="368">
        <v>37734565.33013311</v>
      </c>
      <c r="S49" s="333">
        <v>0.11253024871464534</v>
      </c>
    </row>
    <row r="50" spans="2:19" ht="18.75" x14ac:dyDescent="0.3">
      <c r="B50" s="323" t="s">
        <v>33</v>
      </c>
      <c r="C50" s="324">
        <v>22553196.009444006</v>
      </c>
      <c r="D50" s="325"/>
      <c r="E50" s="324">
        <v>7823279.1405278025</v>
      </c>
      <c r="F50" s="324">
        <f t="shared" ref="F50:F56" si="4">SUM(C50:E50)</f>
        <v>30376475.149971809</v>
      </c>
      <c r="G50" s="389">
        <v>27047086.114971802</v>
      </c>
      <c r="H50" s="392">
        <f t="shared" ref="H50:H57" si="5">(-F50+G50)/F50</f>
        <v>-0.10960419267088985</v>
      </c>
      <c r="I50" s="387">
        <f t="shared" ref="I50:I57" si="6">+F50-G50</f>
        <v>3329389.0350000076</v>
      </c>
      <c r="K50" s="334" t="s">
        <v>254</v>
      </c>
    </row>
    <row r="51" spans="2:19" ht="18.75" x14ac:dyDescent="0.3">
      <c r="B51" s="323" t="s">
        <v>272</v>
      </c>
      <c r="C51" s="324">
        <v>3497718.9238991998</v>
      </c>
      <c r="D51" s="325"/>
      <c r="E51" s="325"/>
      <c r="F51" s="324">
        <f t="shared" si="4"/>
        <v>3497718.9238991998</v>
      </c>
      <c r="G51" s="390">
        <v>2303421.3466992001</v>
      </c>
      <c r="H51" s="393">
        <f t="shared" si="5"/>
        <v>-0.34145041473733295</v>
      </c>
      <c r="I51" s="394">
        <f t="shared" si="6"/>
        <v>1194297.5771999997</v>
      </c>
      <c r="Q51" s="1719" t="s">
        <v>44</v>
      </c>
      <c r="R51" s="1719"/>
    </row>
    <row r="52" spans="2:19" ht="30" x14ac:dyDescent="0.3">
      <c r="B52" s="323" t="s">
        <v>34</v>
      </c>
      <c r="C52" s="324">
        <v>15545375.418864001</v>
      </c>
      <c r="D52" s="324">
        <v>6533160.7292674826</v>
      </c>
      <c r="E52" s="324">
        <v>1966098.9783451543</v>
      </c>
      <c r="F52" s="324">
        <f t="shared" si="4"/>
        <v>24044635.126476638</v>
      </c>
      <c r="G52" s="390">
        <v>21965041.778945301</v>
      </c>
      <c r="H52" s="393">
        <f t="shared" si="5"/>
        <v>-8.6488871076334309E-2</v>
      </c>
      <c r="I52" s="394">
        <f t="shared" si="6"/>
        <v>2079593.3475313373</v>
      </c>
      <c r="K52" s="322"/>
      <c r="L52" s="322"/>
      <c r="M52" s="322"/>
      <c r="N52" s="320" t="s">
        <v>195</v>
      </c>
      <c r="O52" s="320" t="s">
        <v>196</v>
      </c>
      <c r="P52" s="320" t="s">
        <v>197</v>
      </c>
      <c r="Q52" s="320" t="s">
        <v>198</v>
      </c>
      <c r="R52" s="320" t="s">
        <v>199</v>
      </c>
      <c r="S52" s="320" t="s">
        <v>200</v>
      </c>
    </row>
    <row r="53" spans="2:19" ht="18.75" x14ac:dyDescent="0.3">
      <c r="B53" s="323" t="s">
        <v>221</v>
      </c>
      <c r="C53" s="325"/>
      <c r="D53" s="325"/>
      <c r="E53" s="324">
        <v>5651072.8711218843</v>
      </c>
      <c r="F53" s="324">
        <f t="shared" si="4"/>
        <v>5651072.8711218843</v>
      </c>
      <c r="G53" s="390">
        <v>5651072.8711218843</v>
      </c>
      <c r="H53" s="393">
        <f t="shared" si="5"/>
        <v>0</v>
      </c>
      <c r="I53" s="394">
        <f t="shared" si="6"/>
        <v>0</v>
      </c>
      <c r="K53" s="341"/>
      <c r="L53" s="301" t="s">
        <v>285</v>
      </c>
      <c r="M53" s="317" t="s">
        <v>286</v>
      </c>
      <c r="N53" s="335">
        <v>1976</v>
      </c>
      <c r="O53" s="335">
        <v>0.8</v>
      </c>
      <c r="P53" s="336">
        <v>0.8</v>
      </c>
      <c r="Q53" s="326">
        <v>170759.85006590147</v>
      </c>
      <c r="R53" s="326">
        <v>180545.05660554193</v>
      </c>
      <c r="S53" s="327">
        <v>5.7303906836788876E-2</v>
      </c>
    </row>
    <row r="54" spans="2:19" ht="18.75" x14ac:dyDescent="0.3">
      <c r="B54" s="323" t="s">
        <v>36</v>
      </c>
      <c r="C54" s="325"/>
      <c r="D54" s="324">
        <v>1201862.5652256412</v>
      </c>
      <c r="E54" s="324">
        <v>4124071.523175756</v>
      </c>
      <c r="F54" s="324">
        <f t="shared" si="4"/>
        <v>5325934.0884013977</v>
      </c>
      <c r="G54" s="390">
        <v>4964446.9346661791</v>
      </c>
      <c r="H54" s="393">
        <f t="shared" si="5"/>
        <v>-6.7873005511361953E-2</v>
      </c>
      <c r="I54" s="394">
        <f t="shared" si="6"/>
        <v>361487.15373521857</v>
      </c>
      <c r="K54" s="341"/>
      <c r="L54" s="301" t="s">
        <v>290</v>
      </c>
      <c r="M54" s="317" t="s">
        <v>291</v>
      </c>
      <c r="N54" s="335">
        <v>2008</v>
      </c>
      <c r="O54" s="335">
        <v>0.8</v>
      </c>
      <c r="P54" s="336">
        <v>0.8</v>
      </c>
      <c r="Q54" s="326">
        <v>931735.71063955245</v>
      </c>
      <c r="R54" s="326">
        <v>1037996.7263197587</v>
      </c>
      <c r="S54" s="327">
        <v>0.1140463056924883</v>
      </c>
    </row>
    <row r="55" spans="2:19" ht="18.75" x14ac:dyDescent="0.3">
      <c r="B55" s="323" t="s">
        <v>236</v>
      </c>
      <c r="C55" s="325"/>
      <c r="D55" s="324">
        <v>149234.44478002368</v>
      </c>
      <c r="E55" s="324">
        <v>1784882.6666695022</v>
      </c>
      <c r="F55" s="324">
        <f t="shared" si="4"/>
        <v>1934117.1114495259</v>
      </c>
      <c r="G55" s="390">
        <v>1934117.1114495259</v>
      </c>
      <c r="H55" s="393">
        <f t="shared" si="5"/>
        <v>0</v>
      </c>
      <c r="I55" s="394">
        <f t="shared" si="6"/>
        <v>0</v>
      </c>
      <c r="K55" s="303" t="s">
        <v>278</v>
      </c>
      <c r="L55" s="301" t="s">
        <v>293</v>
      </c>
      <c r="M55" s="317" t="s">
        <v>294</v>
      </c>
      <c r="N55" s="335">
        <v>1979</v>
      </c>
      <c r="O55" s="349">
        <v>5.8</v>
      </c>
      <c r="P55" s="349">
        <v>5.8</v>
      </c>
      <c r="Q55" s="326">
        <v>983541.15475019277</v>
      </c>
      <c r="R55" s="1035">
        <v>1037996.7263197587</v>
      </c>
      <c r="S55" s="327">
        <v>5.53668459185086E-2</v>
      </c>
    </row>
    <row r="56" spans="2:19" ht="19.5" thickBot="1" x14ac:dyDescent="0.35">
      <c r="B56" s="323" t="s">
        <v>275</v>
      </c>
      <c r="C56" s="328"/>
      <c r="D56" s="324">
        <v>1736434.7500500004</v>
      </c>
      <c r="E56" s="325"/>
      <c r="F56" s="324">
        <f t="shared" si="4"/>
        <v>1736434.7500500004</v>
      </c>
      <c r="G56" s="390">
        <v>1736434.7500500004</v>
      </c>
      <c r="H56" s="393">
        <f t="shared" si="5"/>
        <v>0</v>
      </c>
      <c r="I56" s="394">
        <f t="shared" si="6"/>
        <v>0</v>
      </c>
      <c r="K56" s="303" t="s">
        <v>267</v>
      </c>
      <c r="L56" s="301" t="s">
        <v>296</v>
      </c>
      <c r="M56" s="317" t="s">
        <v>297</v>
      </c>
      <c r="N56" s="335">
        <v>1979</v>
      </c>
      <c r="O56" s="349">
        <v>2</v>
      </c>
      <c r="P56" s="349">
        <v>2</v>
      </c>
      <c r="Q56" s="326">
        <v>339152.12232765276</v>
      </c>
      <c r="R56" s="1035">
        <v>362898.05802177201</v>
      </c>
      <c r="S56" s="327">
        <v>7.0015589261677835E-2</v>
      </c>
    </row>
    <row r="57" spans="2:19" ht="19.5" thickBot="1" x14ac:dyDescent="0.35">
      <c r="B57" s="329" t="s">
        <v>12</v>
      </c>
      <c r="C57" s="330">
        <f>SUM(C50:C56)</f>
        <v>41596290.352207206</v>
      </c>
      <c r="D57" s="330">
        <f>SUM(D50:D56)</f>
        <v>9620692.4893231485</v>
      </c>
      <c r="E57" s="330">
        <f>SUM(E50:E56)</f>
        <v>21349405.179840103</v>
      </c>
      <c r="F57" s="330">
        <f>SUM(F50:F56)</f>
        <v>72566388.021370441</v>
      </c>
      <c r="G57" s="391">
        <v>65601620.907903925</v>
      </c>
      <c r="H57" s="395">
        <f t="shared" si="5"/>
        <v>-9.5977866659360617E-2</v>
      </c>
      <c r="I57" s="396">
        <f t="shared" si="6"/>
        <v>6964767.1134665161</v>
      </c>
      <c r="K57" s="341"/>
      <c r="L57" s="301" t="s">
        <v>299</v>
      </c>
      <c r="M57" s="317" t="s">
        <v>300</v>
      </c>
      <c r="N57" s="335">
        <v>1982</v>
      </c>
      <c r="O57" s="349">
        <v>0.5</v>
      </c>
      <c r="P57" s="349">
        <v>0.5</v>
      </c>
      <c r="Q57" s="326">
        <v>84788.03058191319</v>
      </c>
      <c r="R57" s="1035">
        <v>89482.47640687578</v>
      </c>
      <c r="S57" s="327">
        <v>5.53668459185086E-2</v>
      </c>
    </row>
    <row r="58" spans="2:19" ht="15.75" thickBot="1" x14ac:dyDescent="0.3">
      <c r="K58" s="341"/>
      <c r="L58" s="301" t="s">
        <v>302</v>
      </c>
      <c r="M58" s="317" t="s">
        <v>303</v>
      </c>
      <c r="N58" s="335">
        <v>1988</v>
      </c>
      <c r="O58" s="349">
        <v>30</v>
      </c>
      <c r="P58" s="349">
        <v>30</v>
      </c>
      <c r="Q58" s="326">
        <v>5087281.8349147914</v>
      </c>
      <c r="R58" s="1035">
        <v>5443470.8703265833</v>
      </c>
      <c r="S58" s="327">
        <v>7.0015589261678501E-2</v>
      </c>
    </row>
    <row r="59" spans="2:19" ht="15.75" thickBot="1" x14ac:dyDescent="0.3">
      <c r="K59" s="331"/>
      <c r="L59" s="331"/>
      <c r="M59" s="303"/>
      <c r="N59" s="303"/>
      <c r="O59" s="310">
        <v>39.9</v>
      </c>
      <c r="P59" s="310">
        <v>39.9</v>
      </c>
      <c r="Q59" s="310">
        <v>7597258.7032800037</v>
      </c>
      <c r="R59" s="368">
        <v>8152389.9140002914</v>
      </c>
      <c r="S59" s="333">
        <v>7.3069936460189E-2</v>
      </c>
    </row>
    <row r="60" spans="2:19" ht="21" x14ac:dyDescent="0.35">
      <c r="B60" s="647"/>
      <c r="C60" s="647"/>
      <c r="D60" s="647"/>
      <c r="K60" s="334" t="s">
        <v>254</v>
      </c>
    </row>
    <row r="61" spans="2:19" ht="15.75" thickBot="1" x14ac:dyDescent="0.3"/>
    <row r="62" spans="2:19" ht="57" thickBot="1" x14ac:dyDescent="0.4">
      <c r="B62" s="648" t="s">
        <v>312</v>
      </c>
      <c r="C62" s="649" t="s">
        <v>345</v>
      </c>
      <c r="D62" s="649" t="s">
        <v>346</v>
      </c>
      <c r="E62" s="649" t="s">
        <v>347</v>
      </c>
      <c r="F62" s="649" t="s">
        <v>348</v>
      </c>
      <c r="G62" s="672" t="s">
        <v>266</v>
      </c>
      <c r="H62" s="648" t="s">
        <v>194</v>
      </c>
      <c r="I62" s="646"/>
      <c r="K62" s="362" t="s">
        <v>306</v>
      </c>
      <c r="L62" s="341"/>
      <c r="M62" s="341"/>
      <c r="N62" s="341"/>
      <c r="O62" s="341"/>
      <c r="P62" s="341"/>
      <c r="Q62" s="332">
        <f>+Q31+Q41+Q49+Q59</f>
        <v>354650960.4642846</v>
      </c>
      <c r="R62" s="332">
        <f>+R31+R41+R49+R59</f>
        <v>375272422.70262027</v>
      </c>
      <c r="S62" s="333">
        <v>5.814579554878252E-2</v>
      </c>
    </row>
    <row r="63" spans="2:19" ht="21" x14ac:dyDescent="0.35">
      <c r="B63" s="650" t="s">
        <v>33</v>
      </c>
      <c r="C63" s="651">
        <v>19223806.974443998</v>
      </c>
      <c r="D63" s="652"/>
      <c r="E63" s="653">
        <v>7823279.1405278025</v>
      </c>
      <c r="F63" s="653">
        <v>30376475.149971809</v>
      </c>
      <c r="G63" s="655">
        <v>27047086.114971805</v>
      </c>
      <c r="H63" s="654">
        <v>-0.10960419267088972</v>
      </c>
      <c r="I63" s="388"/>
    </row>
    <row r="64" spans="2:19" ht="16.5" customHeight="1" x14ac:dyDescent="0.35">
      <c r="B64" s="650" t="s">
        <v>272</v>
      </c>
      <c r="C64" s="653">
        <v>2303421.3466992001</v>
      </c>
      <c r="D64" s="652"/>
      <c r="E64" s="652"/>
      <c r="F64" s="653">
        <v>3497718.9238991998</v>
      </c>
      <c r="G64" s="655">
        <v>2303421.3466992001</v>
      </c>
      <c r="H64" s="654">
        <v>-0.34145041473733295</v>
      </c>
      <c r="I64" s="388"/>
      <c r="Q64" s="369"/>
      <c r="R64" s="366"/>
      <c r="S64" s="366"/>
    </row>
    <row r="65" spans="2:11" ht="21" x14ac:dyDescent="0.35">
      <c r="B65" s="650" t="s">
        <v>34</v>
      </c>
      <c r="C65" s="651">
        <v>15545375.418864001</v>
      </c>
      <c r="D65" s="651">
        <v>4453567.381736177</v>
      </c>
      <c r="E65" s="651">
        <v>1966098.9783451543</v>
      </c>
      <c r="F65" s="653">
        <v>24044635.126476638</v>
      </c>
      <c r="G65" s="655">
        <v>21965041.778945334</v>
      </c>
      <c r="H65" s="654">
        <v>-8.6488871076332963E-2</v>
      </c>
      <c r="I65" s="388"/>
    </row>
    <row r="66" spans="2:11" ht="18" x14ac:dyDescent="0.25">
      <c r="B66" s="650" t="s">
        <v>221</v>
      </c>
      <c r="C66" s="652"/>
      <c r="D66" s="652"/>
      <c r="E66" s="653">
        <v>5651072.8711218843</v>
      </c>
      <c r="F66" s="653">
        <v>5651072.8711218843</v>
      </c>
      <c r="G66" s="655">
        <v>5651072.8711218843</v>
      </c>
      <c r="H66" s="654">
        <v>0</v>
      </c>
    </row>
    <row r="67" spans="2:11" ht="18" x14ac:dyDescent="0.25">
      <c r="B67" s="650" t="s">
        <v>36</v>
      </c>
      <c r="C67" s="652"/>
      <c r="D67" s="651">
        <v>840375.4114904236</v>
      </c>
      <c r="E67" s="651">
        <v>4124071.523175756</v>
      </c>
      <c r="F67" s="653">
        <v>5325934.0884013977</v>
      </c>
      <c r="G67" s="655">
        <v>4964446.9346661791</v>
      </c>
      <c r="H67" s="654">
        <v>-6.7873005511361995E-2</v>
      </c>
    </row>
    <row r="68" spans="2:11" ht="18" x14ac:dyDescent="0.25">
      <c r="B68" s="650" t="s">
        <v>236</v>
      </c>
      <c r="C68" s="652"/>
      <c r="D68" s="653">
        <v>149234.44478002368</v>
      </c>
      <c r="E68" s="653">
        <v>1784882.6666695022</v>
      </c>
      <c r="F68" s="653">
        <v>1934117.1114495259</v>
      </c>
      <c r="G68" s="655">
        <v>1934117.1114495259</v>
      </c>
      <c r="H68" s="654">
        <v>0</v>
      </c>
      <c r="K68" s="661"/>
    </row>
    <row r="69" spans="2:11" ht="18" x14ac:dyDescent="0.25">
      <c r="B69" s="650" t="s">
        <v>275</v>
      </c>
      <c r="C69" s="656"/>
      <c r="D69" s="653">
        <v>1736434.7500500004</v>
      </c>
      <c r="E69" s="652"/>
      <c r="F69" s="653">
        <v>1736434.7500500004</v>
      </c>
      <c r="G69" s="655">
        <v>1736434.7500500004</v>
      </c>
      <c r="H69" s="654">
        <v>0</v>
      </c>
      <c r="K69" s="661"/>
    </row>
    <row r="70" spans="2:11" ht="18.75" x14ac:dyDescent="0.3">
      <c r="B70" s="657" t="s">
        <v>12</v>
      </c>
      <c r="C70" s="658">
        <v>37072603.740007207</v>
      </c>
      <c r="D70" s="658">
        <v>7179611.9880566243</v>
      </c>
      <c r="E70" s="658">
        <v>21349405.179840103</v>
      </c>
      <c r="F70" s="658">
        <v>72566388.021370441</v>
      </c>
      <c r="G70" s="659">
        <v>65601620.907903925</v>
      </c>
      <c r="H70" s="660">
        <v>-9.5977866659360589E-2</v>
      </c>
    </row>
    <row r="73" spans="2:11" x14ac:dyDescent="0.25">
      <c r="G73" s="317" t="str">
        <f>+B65</f>
        <v>LLANO SANCHEZ</v>
      </c>
      <c r="H73" s="366">
        <f>+C65</f>
        <v>15545375.418864001</v>
      </c>
    </row>
    <row r="74" spans="2:11" x14ac:dyDescent="0.25">
      <c r="G74" s="841" t="str">
        <f>+'LL.SANCHEZ CONEX 230'!B23</f>
        <v xml:space="preserve">Autotrasformador de Potencia 230/115 kV 100 MVA </v>
      </c>
      <c r="H74" s="317">
        <f>+'LL.SANCHEZ CONEX 230'!E23</f>
        <v>3200000</v>
      </c>
    </row>
    <row r="75" spans="2:11" ht="15.75" thickBot="1" x14ac:dyDescent="0.3">
      <c r="G75" s="841" t="str">
        <f>+'LL.SANCHEZ CONEX 230'!B25</f>
        <v xml:space="preserve">Autotrasformador de Potencia 230/115/34.5 kV y 70 MVA </v>
      </c>
      <c r="H75" s="842">
        <f>+'SALIDAS Y TRANSFORMACION'!E8</f>
        <v>5259383.6863563238</v>
      </c>
    </row>
    <row r="76" spans="2:11" ht="19.5" thickBot="1" x14ac:dyDescent="0.35">
      <c r="C76" s="342" t="s">
        <v>287</v>
      </c>
      <c r="D76" s="343" t="s">
        <v>288</v>
      </c>
      <c r="E76" s="344" t="s">
        <v>289</v>
      </c>
      <c r="G76" s="317" t="str">
        <f>+'SALIDAS Y TRANSFORMACION'!B9</f>
        <v>Llano Sánchez 230</v>
      </c>
      <c r="H76" s="843">
        <f>+H73-H74-H75</f>
        <v>7085991.7325076768</v>
      </c>
    </row>
    <row r="77" spans="2:11" x14ac:dyDescent="0.25">
      <c r="B77" s="345" t="s">
        <v>292</v>
      </c>
      <c r="C77" s="346">
        <v>230411895.76401484</v>
      </c>
      <c r="D77" s="347">
        <v>348431106.74645525</v>
      </c>
      <c r="E77" s="348">
        <v>385512053.64238614</v>
      </c>
    </row>
    <row r="78" spans="2:11" x14ac:dyDescent="0.25">
      <c r="B78" s="350" t="s">
        <v>295</v>
      </c>
      <c r="C78" s="351">
        <v>4114080</v>
      </c>
      <c r="D78" s="352">
        <v>6494763.1425745506</v>
      </c>
      <c r="E78" s="353">
        <v>7482446.0167909563</v>
      </c>
    </row>
    <row r="79" spans="2:11" x14ac:dyDescent="0.25">
      <c r="B79" s="350" t="s">
        <v>298</v>
      </c>
      <c r="C79" s="351">
        <v>165196416.07344368</v>
      </c>
      <c r="D79" s="352">
        <v>245530481.49300849</v>
      </c>
      <c r="E79" s="353">
        <v>300751737.30438381</v>
      </c>
    </row>
    <row r="80" spans="2:11" x14ac:dyDescent="0.25">
      <c r="B80" s="350" t="s">
        <v>301</v>
      </c>
      <c r="C80" s="351">
        <v>27733774.29710488</v>
      </c>
      <c r="D80" s="352">
        <v>49089337.133500792</v>
      </c>
      <c r="E80" s="353">
        <v>59839508.611118525</v>
      </c>
    </row>
    <row r="81" spans="2:5" ht="15.75" thickBot="1" x14ac:dyDescent="0.3">
      <c r="B81" s="354" t="s">
        <v>304</v>
      </c>
      <c r="C81" s="355" t="s">
        <v>305</v>
      </c>
      <c r="D81" s="356">
        <v>12328578.80273428</v>
      </c>
      <c r="E81" s="357">
        <v>14395727.970717791</v>
      </c>
    </row>
    <row r="82" spans="2:5" ht="15.75" thickBot="1" x14ac:dyDescent="0.3">
      <c r="B82" s="358" t="s">
        <v>12</v>
      </c>
      <c r="C82" s="359">
        <v>427456166.13456339</v>
      </c>
      <c r="D82" s="360">
        <v>661874267.31827343</v>
      </c>
      <c r="E82" s="361">
        <v>767981473.54539716</v>
      </c>
    </row>
    <row r="90" spans="2:5" x14ac:dyDescent="0.25">
      <c r="C90" s="317" t="s">
        <v>288</v>
      </c>
      <c r="D90" s="363">
        <f>+D77+D79+D81</f>
        <v>606290167.04219806</v>
      </c>
    </row>
    <row r="91" spans="2:5" x14ac:dyDescent="0.25">
      <c r="C91" s="317" t="s">
        <v>311</v>
      </c>
      <c r="D91" s="363">
        <f>+'[3]Plan de Expansión'!C10*1000+'[3]Plan de Expansión'!D10*10000</f>
        <v>171483000</v>
      </c>
    </row>
    <row r="92" spans="2:5" x14ac:dyDescent="0.25">
      <c r="C92" s="364" t="s">
        <v>307</v>
      </c>
      <c r="D92" s="365">
        <f>+D90+D91</f>
        <v>777773167.04219806</v>
      </c>
    </row>
    <row r="94" spans="2:5" x14ac:dyDescent="0.25">
      <c r="C94" s="317" t="s">
        <v>308</v>
      </c>
      <c r="D94" s="366">
        <f>+VNR_Lineas</f>
        <v>375272422.70262027</v>
      </c>
    </row>
    <row r="95" spans="2:5" x14ac:dyDescent="0.25">
      <c r="C95" s="317" t="s">
        <v>309</v>
      </c>
      <c r="D95" s="366">
        <f>+F30</f>
        <v>327250502.4926365</v>
      </c>
    </row>
    <row r="96" spans="2:5" x14ac:dyDescent="0.25">
      <c r="C96" s="317" t="s">
        <v>310</v>
      </c>
      <c r="D96" s="366">
        <f>+F36</f>
        <v>36672308.815588608</v>
      </c>
    </row>
    <row r="97" spans="3:4" x14ac:dyDescent="0.25">
      <c r="C97" s="364" t="s">
        <v>307</v>
      </c>
      <c r="D97" s="367">
        <f>+VNR_Lineas+F30+F36</f>
        <v>739195234.0108453</v>
      </c>
    </row>
  </sheetData>
  <mergeCells count="10">
    <mergeCell ref="Q43:R43"/>
    <mergeCell ref="Q51:R51"/>
    <mergeCell ref="Q12:R12"/>
    <mergeCell ref="Q14:Q16"/>
    <mergeCell ref="R14:R16"/>
    <mergeCell ref="S14:S16"/>
    <mergeCell ref="Q27:Q30"/>
    <mergeCell ref="R27:R30"/>
    <mergeCell ref="S27:S30"/>
    <mergeCell ref="Q34:R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52"/>
  <sheetViews>
    <sheetView topLeftCell="A29" workbookViewId="0">
      <selection activeCell="E49" sqref="E49"/>
    </sheetView>
  </sheetViews>
  <sheetFormatPr baseColWidth="10" defaultColWidth="11.42578125" defaultRowHeight="15" x14ac:dyDescent="0.25"/>
  <cols>
    <col min="1" max="3" width="11.42578125" style="1111"/>
    <col min="4" max="4" width="25.42578125" style="1111" customWidth="1"/>
    <col min="5" max="5" width="19.28515625" style="1111" customWidth="1"/>
    <col min="6" max="6" width="11.42578125" style="1111"/>
    <col min="7" max="7" width="19.28515625" style="1111" customWidth="1"/>
    <col min="8" max="9" width="11.42578125" style="1111"/>
    <col min="10" max="10" width="13.5703125" style="1111" bestFit="1" customWidth="1"/>
    <col min="11" max="16384" width="11.42578125" style="1111"/>
  </cols>
  <sheetData>
    <row r="2" spans="2:10" ht="21" x14ac:dyDescent="0.35">
      <c r="B2" s="1110" t="s">
        <v>675</v>
      </c>
    </row>
    <row r="3" spans="2:10" ht="21" x14ac:dyDescent="0.35">
      <c r="B3" s="1110" t="s">
        <v>676</v>
      </c>
    </row>
    <row r="4" spans="2:10" ht="21" x14ac:dyDescent="0.35">
      <c r="B4" s="1110" t="s">
        <v>677</v>
      </c>
    </row>
    <row r="5" spans="2:10" ht="16.5" thickBot="1" x14ac:dyDescent="0.3">
      <c r="B5" s="1112">
        <v>42917</v>
      </c>
      <c r="C5" s="1113"/>
      <c r="D5" s="1114"/>
      <c r="E5" s="1115"/>
      <c r="F5" s="1115"/>
      <c r="G5" s="1115"/>
    </row>
    <row r="6" spans="2:10" ht="16.5" thickTop="1" x14ac:dyDescent="0.25">
      <c r="B6" s="1721" t="s">
        <v>678</v>
      </c>
      <c r="C6" s="1721"/>
      <c r="D6" s="1721"/>
      <c r="E6" s="1116">
        <v>2222502.77</v>
      </c>
      <c r="F6" s="1116">
        <v>0</v>
      </c>
      <c r="G6" s="1116">
        <v>2222502.77</v>
      </c>
    </row>
    <row r="7" spans="2:10" ht="15.75" x14ac:dyDescent="0.25">
      <c r="B7" s="1720" t="s">
        <v>679</v>
      </c>
      <c r="C7" s="1720"/>
      <c r="D7" s="1720"/>
      <c r="E7" s="1117">
        <v>347170.22000000003</v>
      </c>
      <c r="F7" s="1115">
        <v>0</v>
      </c>
      <c r="G7" s="1117">
        <v>347170.22</v>
      </c>
    </row>
    <row r="8" spans="2:10" ht="16.5" thickBot="1" x14ac:dyDescent="0.3">
      <c r="B8" s="1720" t="s">
        <v>680</v>
      </c>
      <c r="C8" s="1720"/>
      <c r="D8" s="1720"/>
      <c r="E8" s="1117">
        <v>1107237.6700000002</v>
      </c>
      <c r="F8" s="1115">
        <v>0</v>
      </c>
      <c r="G8" s="1117">
        <v>1107237.67</v>
      </c>
    </row>
    <row r="9" spans="2:10" ht="17.25" thickTop="1" thickBot="1" x14ac:dyDescent="0.3">
      <c r="B9" s="1722" t="s">
        <v>681</v>
      </c>
      <c r="C9" s="1722"/>
      <c r="D9" s="1723"/>
      <c r="E9" s="1118">
        <v>3676910.66</v>
      </c>
      <c r="F9" s="1119">
        <v>0</v>
      </c>
      <c r="G9" s="1120">
        <v>3676910.66</v>
      </c>
      <c r="I9" s="1111">
        <f>1/(1+'[10]IPCT VNR_FA'!C2/12)</f>
        <v>0.99357488242697234</v>
      </c>
      <c r="J9" s="1111">
        <f>+I9*G7</f>
        <v>344939.61051864608</v>
      </c>
    </row>
    <row r="10" spans="2:10" ht="15.75" thickTop="1" x14ac:dyDescent="0.25"/>
    <row r="12" spans="2:10" ht="16.5" thickBot="1" x14ac:dyDescent="0.3">
      <c r="B12" s="1112">
        <v>42948</v>
      </c>
      <c r="C12" s="1113"/>
      <c r="D12" s="1114"/>
      <c r="E12" s="1115"/>
      <c r="F12" s="1115"/>
      <c r="G12" s="1115"/>
    </row>
    <row r="13" spans="2:10" ht="16.5" thickTop="1" x14ac:dyDescent="0.25">
      <c r="B13" s="1721" t="s">
        <v>678</v>
      </c>
      <c r="C13" s="1721"/>
      <c r="D13" s="1721"/>
      <c r="E13" s="1116">
        <v>2222502.77</v>
      </c>
      <c r="F13" s="1116">
        <v>0</v>
      </c>
      <c r="G13" s="1116">
        <v>2222502.77</v>
      </c>
    </row>
    <row r="14" spans="2:10" ht="15.75" x14ac:dyDescent="0.25">
      <c r="B14" s="1720" t="s">
        <v>679</v>
      </c>
      <c r="C14" s="1720"/>
      <c r="D14" s="1720"/>
      <c r="E14" s="1117">
        <v>347170.22000000003</v>
      </c>
      <c r="F14" s="1115">
        <v>0</v>
      </c>
      <c r="G14" s="1117">
        <v>347170.22</v>
      </c>
    </row>
    <row r="15" spans="2:10" ht="16.5" thickBot="1" x14ac:dyDescent="0.3">
      <c r="B15" s="1720" t="s">
        <v>680</v>
      </c>
      <c r="C15" s="1720"/>
      <c r="D15" s="1720"/>
      <c r="E15" s="1117">
        <v>1112469.7400000002</v>
      </c>
      <c r="F15" s="1115">
        <v>0</v>
      </c>
      <c r="G15" s="1117">
        <v>1112469.74</v>
      </c>
    </row>
    <row r="16" spans="2:10" ht="17.25" thickTop="1" thickBot="1" x14ac:dyDescent="0.3">
      <c r="B16" s="1722" t="s">
        <v>681</v>
      </c>
      <c r="C16" s="1722"/>
      <c r="D16" s="1723"/>
      <c r="E16" s="1118">
        <v>3682142.73</v>
      </c>
      <c r="F16" s="1119">
        <v>0</v>
      </c>
      <c r="G16" s="1120">
        <v>3682142.73</v>
      </c>
      <c r="I16" s="1121">
        <f>+I9/(1+'[10]IPCT VNR_FA'!$C$2/12)</f>
        <v>0.98719104698977189</v>
      </c>
      <c r="J16" s="1111">
        <f>+I16*G14</f>
        <v>342723.3329654694</v>
      </c>
    </row>
    <row r="17" spans="2:10" ht="15.75" thickTop="1" x14ac:dyDescent="0.25"/>
    <row r="19" spans="2:10" ht="16.5" thickBot="1" x14ac:dyDescent="0.3">
      <c r="B19" s="1112">
        <v>42979</v>
      </c>
      <c r="C19" s="1113"/>
      <c r="D19" s="1114"/>
      <c r="E19" s="1115"/>
      <c r="F19" s="1115"/>
      <c r="G19" s="1115"/>
    </row>
    <row r="20" spans="2:10" ht="16.5" thickTop="1" x14ac:dyDescent="0.25">
      <c r="B20" s="1721" t="s">
        <v>678</v>
      </c>
      <c r="C20" s="1721"/>
      <c r="D20" s="1721"/>
      <c r="E20" s="1116">
        <v>2222502.77</v>
      </c>
      <c r="F20" s="1116">
        <v>0</v>
      </c>
      <c r="G20" s="1116">
        <v>2222502.77</v>
      </c>
    </row>
    <row r="21" spans="2:10" ht="15.75" x14ac:dyDescent="0.25">
      <c r="B21" s="1720" t="s">
        <v>679</v>
      </c>
      <c r="C21" s="1720"/>
      <c r="D21" s="1720"/>
      <c r="E21" s="1117">
        <v>347170.22000000003</v>
      </c>
      <c r="F21" s="1115">
        <v>0</v>
      </c>
      <c r="G21" s="1117">
        <v>347170.22</v>
      </c>
    </row>
    <row r="22" spans="2:10" ht="16.5" thickBot="1" x14ac:dyDescent="0.3">
      <c r="B22" s="1720" t="s">
        <v>680</v>
      </c>
      <c r="C22" s="1720"/>
      <c r="D22" s="1720"/>
      <c r="E22" s="1117">
        <v>1108943.7800000003</v>
      </c>
      <c r="F22" s="1115">
        <v>0</v>
      </c>
      <c r="G22" s="1117">
        <v>1108943.78</v>
      </c>
    </row>
    <row r="23" spans="2:10" ht="17.25" thickTop="1" thickBot="1" x14ac:dyDescent="0.3">
      <c r="B23" s="1722" t="s">
        <v>681</v>
      </c>
      <c r="C23" s="1722"/>
      <c r="D23" s="1723"/>
      <c r="E23" s="1118">
        <v>3678616.77</v>
      </c>
      <c r="F23" s="1119">
        <v>0</v>
      </c>
      <c r="G23" s="1120">
        <v>3678616.77</v>
      </c>
      <c r="I23" s="1121">
        <f>+I16/(1+'[10]IPCT VNR_FA'!$C$2/12)</f>
        <v>0.98084822844582231</v>
      </c>
      <c r="J23" s="1111">
        <f>+I23*G21</f>
        <v>340521.29525614635</v>
      </c>
    </row>
    <row r="24" spans="2:10" ht="15.75" thickTop="1" x14ac:dyDescent="0.25"/>
    <row r="26" spans="2:10" ht="16.5" thickBot="1" x14ac:dyDescent="0.3">
      <c r="B26" s="1112">
        <v>43009</v>
      </c>
      <c r="C26" s="1113"/>
      <c r="D26" s="1114"/>
      <c r="E26" s="1115"/>
      <c r="F26" s="1115"/>
      <c r="G26" s="1115"/>
    </row>
    <row r="27" spans="2:10" ht="16.5" thickTop="1" x14ac:dyDescent="0.25">
      <c r="B27" s="1721" t="s">
        <v>678</v>
      </c>
      <c r="C27" s="1721"/>
      <c r="D27" s="1721"/>
      <c r="E27" s="1116">
        <v>2222502.77</v>
      </c>
      <c r="F27" s="1116">
        <v>0</v>
      </c>
      <c r="G27" s="1116">
        <v>2222502.77</v>
      </c>
    </row>
    <row r="28" spans="2:10" ht="15.75" x14ac:dyDescent="0.25">
      <c r="B28" s="1720" t="s">
        <v>679</v>
      </c>
      <c r="C28" s="1720"/>
      <c r="D28" s="1720"/>
      <c r="E28" s="1117">
        <v>347170.22000000003</v>
      </c>
      <c r="F28" s="1115">
        <v>0</v>
      </c>
      <c r="G28" s="1117">
        <v>347170.22</v>
      </c>
    </row>
    <row r="29" spans="2:10" ht="16.5" thickBot="1" x14ac:dyDescent="0.3">
      <c r="B29" s="1720" t="s">
        <v>680</v>
      </c>
      <c r="C29" s="1720"/>
      <c r="D29" s="1720"/>
      <c r="E29" s="1117">
        <v>1108943.7800000003</v>
      </c>
      <c r="F29" s="1115">
        <v>0</v>
      </c>
      <c r="G29" s="1117">
        <v>1108943.78</v>
      </c>
      <c r="I29" s="1121">
        <f>+I23/(1+'[10]IPCT VNR_FA'!$C$2/12)</f>
        <v>0.97454616325676191</v>
      </c>
      <c r="J29" s="1111">
        <f>+I29*G28</f>
        <v>338333.40589800593</v>
      </c>
    </row>
    <row r="30" spans="2:10" ht="17.25" thickTop="1" thickBot="1" x14ac:dyDescent="0.3">
      <c r="B30" s="1722" t="s">
        <v>681</v>
      </c>
      <c r="C30" s="1722"/>
      <c r="D30" s="1723"/>
      <c r="E30" s="1118"/>
      <c r="F30" s="1119"/>
      <c r="G30" s="1120"/>
    </row>
    <row r="31" spans="2:10" ht="15.75" thickTop="1" x14ac:dyDescent="0.25"/>
    <row r="33" spans="2:10" ht="16.5" thickBot="1" x14ac:dyDescent="0.3">
      <c r="B33" s="1112">
        <v>43040</v>
      </c>
      <c r="C33" s="1113"/>
      <c r="D33" s="1114"/>
      <c r="E33" s="1115"/>
      <c r="F33" s="1115"/>
      <c r="G33" s="1115"/>
    </row>
    <row r="34" spans="2:10" ht="16.5" thickTop="1" x14ac:dyDescent="0.25">
      <c r="B34" s="1721" t="s">
        <v>678</v>
      </c>
      <c r="C34" s="1721"/>
      <c r="D34" s="1721"/>
      <c r="E34" s="1116">
        <v>2222502.77</v>
      </c>
      <c r="F34" s="1116">
        <v>0</v>
      </c>
      <c r="G34" s="1116">
        <v>2222502.77</v>
      </c>
    </row>
    <row r="35" spans="2:10" ht="15.75" x14ac:dyDescent="0.25">
      <c r="B35" s="1720" t="s">
        <v>679</v>
      </c>
      <c r="C35" s="1720"/>
      <c r="D35" s="1720"/>
      <c r="E35" s="1117">
        <v>347170.22000000003</v>
      </c>
      <c r="F35" s="1115">
        <v>0</v>
      </c>
      <c r="G35" s="1117">
        <v>347170.22</v>
      </c>
    </row>
    <row r="36" spans="2:10" ht="16.5" thickBot="1" x14ac:dyDescent="0.3">
      <c r="B36" s="1720" t="s">
        <v>680</v>
      </c>
      <c r="C36" s="1720"/>
      <c r="D36" s="1720"/>
      <c r="E36" s="1117">
        <v>1108943.7800000003</v>
      </c>
      <c r="F36" s="1115">
        <v>0</v>
      </c>
      <c r="G36" s="1117">
        <v>1108943.78</v>
      </c>
      <c r="I36" s="1121">
        <f>+I29/(1+'[10]IPCT VNR_FA'!$C$2/12)</f>
        <v>0.96828458957749419</v>
      </c>
      <c r="J36" s="1111">
        <f>+I36*G35</f>
        <v>336159.57398622832</v>
      </c>
    </row>
    <row r="37" spans="2:10" ht="17.25" thickTop="1" thickBot="1" x14ac:dyDescent="0.3">
      <c r="B37" s="1722" t="s">
        <v>681</v>
      </c>
      <c r="C37" s="1722"/>
      <c r="D37" s="1723"/>
      <c r="E37" s="1118"/>
      <c r="F37" s="1119"/>
      <c r="G37" s="1120"/>
    </row>
    <row r="38" spans="2:10" ht="15.75" thickTop="1" x14ac:dyDescent="0.25"/>
    <row r="40" spans="2:10" ht="16.5" thickBot="1" x14ac:dyDescent="0.3">
      <c r="B40" s="1112">
        <v>43070</v>
      </c>
      <c r="C40" s="1113"/>
      <c r="D40" s="1114" t="s">
        <v>682</v>
      </c>
      <c r="E40" s="1115"/>
      <c r="F40" s="1115"/>
      <c r="G40" s="1115"/>
    </row>
    <row r="41" spans="2:10" ht="16.5" thickTop="1" x14ac:dyDescent="0.25">
      <c r="B41" s="1721" t="s">
        <v>678</v>
      </c>
      <c r="C41" s="1721"/>
      <c r="D41" s="1721"/>
      <c r="E41" s="1116">
        <v>2222502.77</v>
      </c>
      <c r="F41" s="1116">
        <v>0</v>
      </c>
      <c r="G41" s="1116">
        <v>2222502.77</v>
      </c>
    </row>
    <row r="42" spans="2:10" ht="15.75" x14ac:dyDescent="0.25">
      <c r="B42" s="1720" t="s">
        <v>679</v>
      </c>
      <c r="C42" s="1720"/>
      <c r="D42" s="1720"/>
      <c r="E42" s="1117">
        <v>347170.22000000003</v>
      </c>
      <c r="F42" s="1115">
        <v>0</v>
      </c>
      <c r="G42" s="1117">
        <v>347170.22</v>
      </c>
    </row>
    <row r="43" spans="2:10" ht="16.5" thickBot="1" x14ac:dyDescent="0.3">
      <c r="B43" s="1720" t="s">
        <v>680</v>
      </c>
      <c r="C43" s="1720"/>
      <c r="D43" s="1720"/>
      <c r="E43" s="1117">
        <v>1108943.7800000003</v>
      </c>
      <c r="F43" s="1115">
        <v>0</v>
      </c>
      <c r="G43" s="1117">
        <v>1108943.78</v>
      </c>
      <c r="I43" s="1121">
        <f>+I36/(1+'[10]IPCT VNR_FA'!$C$2/12)</f>
        <v>0.9620632472453079</v>
      </c>
      <c r="J43" s="1111">
        <f>+I43*G42</f>
        <v>333999.70920006791</v>
      </c>
    </row>
    <row r="44" spans="2:10" ht="17.25" thickTop="1" thickBot="1" x14ac:dyDescent="0.3">
      <c r="B44" s="1722" t="s">
        <v>681</v>
      </c>
      <c r="C44" s="1722"/>
      <c r="D44" s="1723"/>
      <c r="E44" s="1118"/>
      <c r="F44" s="1119"/>
      <c r="G44" s="1120"/>
    </row>
    <row r="45" spans="2:10" ht="15.75" thickTop="1" x14ac:dyDescent="0.25"/>
    <row r="47" spans="2:10" ht="16.5" thickBot="1" x14ac:dyDescent="0.3">
      <c r="B47" s="1112">
        <v>43070</v>
      </c>
      <c r="C47" s="1113"/>
      <c r="D47" s="1114" t="s">
        <v>682</v>
      </c>
      <c r="E47" s="1115"/>
      <c r="F47" s="1115"/>
      <c r="G47" s="1115"/>
    </row>
    <row r="48" spans="2:10" ht="16.5" thickTop="1" x14ac:dyDescent="0.25">
      <c r="B48" s="1721" t="s">
        <v>678</v>
      </c>
      <c r="C48" s="1721"/>
      <c r="D48" s="1721"/>
      <c r="E48" s="1116">
        <f>+E6+E13+E20+E27+E34+E41</f>
        <v>13335016.619999999</v>
      </c>
      <c r="F48" s="1116">
        <f t="shared" ref="F48:G48" si="0">+F6+F13+F20+F27+F34+F41</f>
        <v>0</v>
      </c>
      <c r="G48" s="1116">
        <f t="shared" si="0"/>
        <v>13335016.619999999</v>
      </c>
    </row>
    <row r="49" spans="2:10" ht="21" x14ac:dyDescent="0.35">
      <c r="B49" s="1720" t="s">
        <v>679</v>
      </c>
      <c r="C49" s="1720"/>
      <c r="D49" s="1720"/>
      <c r="E49" s="1122">
        <f t="shared" ref="E49:G51" si="1">+E7+E14+E21+E28+E35+E42</f>
        <v>2083021.32</v>
      </c>
      <c r="F49" s="1115">
        <f t="shared" si="1"/>
        <v>0</v>
      </c>
      <c r="G49" s="1117">
        <f t="shared" si="1"/>
        <v>2083021.3199999998</v>
      </c>
    </row>
    <row r="50" spans="2:10" ht="16.5" thickBot="1" x14ac:dyDescent="0.3">
      <c r="B50" s="1720" t="s">
        <v>680</v>
      </c>
      <c r="C50" s="1720"/>
      <c r="D50" s="1720"/>
      <c r="E50" s="1117">
        <f t="shared" si="1"/>
        <v>6655482.5300000012</v>
      </c>
      <c r="F50" s="1115">
        <f t="shared" si="1"/>
        <v>0</v>
      </c>
      <c r="G50" s="1117">
        <f t="shared" si="1"/>
        <v>6655482.5300000012</v>
      </c>
    </row>
    <row r="51" spans="2:10" ht="17.25" thickTop="1" thickBot="1" x14ac:dyDescent="0.3">
      <c r="B51" s="1722" t="s">
        <v>681</v>
      </c>
      <c r="C51" s="1722"/>
      <c r="D51" s="1723"/>
      <c r="E51" s="1118">
        <f t="shared" si="1"/>
        <v>11037670.16</v>
      </c>
      <c r="F51" s="1119">
        <f t="shared" si="1"/>
        <v>0</v>
      </c>
      <c r="G51" s="1120">
        <f t="shared" si="1"/>
        <v>11037670.16</v>
      </c>
      <c r="J51" s="1117">
        <f>+SUM(J6:J50)</f>
        <v>2036676.927824564</v>
      </c>
    </row>
    <row r="52" spans="2:10" ht="15.75" thickTop="1" x14ac:dyDescent="0.25"/>
  </sheetData>
  <mergeCells count="28">
    <mergeCell ref="B48:D48"/>
    <mergeCell ref="B49:D49"/>
    <mergeCell ref="B50:D50"/>
    <mergeCell ref="B51:D51"/>
    <mergeCell ref="B36:D36"/>
    <mergeCell ref="B37:D37"/>
    <mergeCell ref="B41:D41"/>
    <mergeCell ref="B42:D42"/>
    <mergeCell ref="B43:D43"/>
    <mergeCell ref="B44:D44"/>
    <mergeCell ref="B35:D35"/>
    <mergeCell ref="B15:D15"/>
    <mergeCell ref="B16:D16"/>
    <mergeCell ref="B20:D20"/>
    <mergeCell ref="B21:D21"/>
    <mergeCell ref="B22:D22"/>
    <mergeCell ref="B23:D23"/>
    <mergeCell ref="B27:D27"/>
    <mergeCell ref="B28:D28"/>
    <mergeCell ref="B29:D29"/>
    <mergeCell ref="B30:D30"/>
    <mergeCell ref="B34:D34"/>
    <mergeCell ref="B14:D14"/>
    <mergeCell ref="B6:D6"/>
    <mergeCell ref="B7:D7"/>
    <mergeCell ref="B8:D8"/>
    <mergeCell ref="B9:D9"/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S37"/>
  <sheetViews>
    <sheetView showGridLines="0" zoomScale="60" zoomScaleNormal="60" workbookViewId="0">
      <selection activeCell="D18" sqref="D18"/>
    </sheetView>
  </sheetViews>
  <sheetFormatPr baseColWidth="10" defaultColWidth="11.42578125" defaultRowHeight="12.75" x14ac:dyDescent="0.2"/>
  <cols>
    <col min="1" max="1" width="38.42578125" customWidth="1"/>
    <col min="2" max="2" width="17.85546875" customWidth="1"/>
    <col min="3" max="3" width="14.42578125" customWidth="1"/>
    <col min="4" max="4" width="13.42578125" customWidth="1"/>
    <col min="5" max="5" width="11.85546875" customWidth="1"/>
    <col min="7" max="7" width="12.85546875" customWidth="1"/>
    <col min="8" max="8" width="11.28515625" customWidth="1"/>
    <col min="9" max="9" width="17.5703125" customWidth="1"/>
    <col min="10" max="10" width="11.85546875" customWidth="1"/>
    <col min="11" max="11" width="23.28515625" customWidth="1"/>
    <col min="12" max="12" width="13.5703125" bestFit="1" customWidth="1"/>
    <col min="13" max="13" width="17.85546875" customWidth="1"/>
    <col min="17" max="17" width="13.85546875" bestFit="1" customWidth="1"/>
  </cols>
  <sheetData>
    <row r="1" spans="1:19" ht="18" x14ac:dyDescent="0.25">
      <c r="A1" s="1587" t="s">
        <v>13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9" ht="39.6" customHeight="1" thickBot="1" x14ac:dyDescent="0.25">
      <c r="A2" s="1612" t="s">
        <v>23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</row>
    <row r="3" spans="1:19" ht="27.6" customHeight="1" x14ac:dyDescent="0.2">
      <c r="A3" s="1613" t="s">
        <v>25</v>
      </c>
      <c r="B3" s="1614"/>
      <c r="C3" s="1614"/>
      <c r="D3" s="1614"/>
      <c r="E3" s="1621" t="s">
        <v>78</v>
      </c>
      <c r="F3" s="1622"/>
      <c r="G3" s="1622"/>
      <c r="H3" s="1622"/>
      <c r="I3" s="1622"/>
      <c r="J3" s="1622"/>
      <c r="K3" s="1623"/>
    </row>
    <row r="4" spans="1:19" ht="27.6" customHeight="1" thickBot="1" x14ac:dyDescent="0.25">
      <c r="A4" s="1615"/>
      <c r="B4" s="1616"/>
      <c r="C4" s="1616"/>
      <c r="D4" s="1616"/>
      <c r="E4" s="21"/>
      <c r="K4" s="27"/>
    </row>
    <row r="5" spans="1:19" ht="27.6" customHeight="1" x14ac:dyDescent="0.2">
      <c r="A5" s="1615"/>
      <c r="B5" s="1616"/>
      <c r="C5" s="1616"/>
      <c r="D5" s="1616"/>
      <c r="E5" s="1621" t="s">
        <v>79</v>
      </c>
      <c r="F5" s="1622"/>
      <c r="G5" s="1622"/>
      <c r="H5" s="1622"/>
      <c r="I5" s="1622"/>
      <c r="J5" s="1622"/>
      <c r="K5" s="1623"/>
      <c r="Q5" s="421" t="e">
        <f>+#REF!</f>
        <v>#REF!</v>
      </c>
      <c r="R5" s="128"/>
      <c r="S5" s="128">
        <v>0.57425000000000004</v>
      </c>
    </row>
    <row r="6" spans="1:19" ht="27.6" customHeight="1" thickBot="1" x14ac:dyDescent="0.25">
      <c r="A6" s="1617"/>
      <c r="B6" s="1618"/>
      <c r="C6" s="1618"/>
      <c r="D6" s="1618"/>
      <c r="E6" s="28"/>
      <c r="F6" s="25"/>
      <c r="G6" s="25"/>
      <c r="H6" s="25"/>
      <c r="I6" s="25"/>
      <c r="J6" s="25"/>
      <c r="K6" s="26"/>
      <c r="Q6" s="128"/>
      <c r="R6" s="128"/>
      <c r="S6" s="422">
        <v>0.57499999999999996</v>
      </c>
    </row>
    <row r="7" spans="1:19" ht="18" customHeight="1" thickBot="1" x14ac:dyDescent="0.25">
      <c r="A7" s="57"/>
      <c r="B7" s="57"/>
      <c r="C7" s="57"/>
      <c r="D7" s="57"/>
      <c r="H7" s="25"/>
    </row>
    <row r="8" spans="1:19" ht="26.45" customHeight="1" x14ac:dyDescent="0.2">
      <c r="A8" s="1611" t="s">
        <v>24</v>
      </c>
      <c r="B8" s="1611" t="s">
        <v>17</v>
      </c>
      <c r="C8" s="1606" t="s">
        <v>1</v>
      </c>
      <c r="D8" s="1606" t="s">
        <v>173</v>
      </c>
      <c r="E8" s="1619" t="s">
        <v>85</v>
      </c>
      <c r="F8" s="1620" t="s">
        <v>131</v>
      </c>
      <c r="G8" s="1620" t="s">
        <v>132</v>
      </c>
      <c r="H8" s="1620" t="s">
        <v>133</v>
      </c>
      <c r="I8" s="1620" t="s">
        <v>76</v>
      </c>
      <c r="J8" s="76"/>
      <c r="K8" s="1611" t="s">
        <v>77</v>
      </c>
      <c r="L8" s="1610" t="s">
        <v>74</v>
      </c>
      <c r="M8" s="1611" t="s">
        <v>130</v>
      </c>
      <c r="N8" s="284"/>
      <c r="O8" s="282" t="s">
        <v>183</v>
      </c>
      <c r="Q8" s="1608" t="s">
        <v>175</v>
      </c>
    </row>
    <row r="9" spans="1:19" ht="16.899999999999999" customHeight="1" x14ac:dyDescent="0.2">
      <c r="A9" s="1611"/>
      <c r="B9" s="1611"/>
      <c r="C9" s="1607"/>
      <c r="D9" s="1607"/>
      <c r="E9" s="1619"/>
      <c r="F9" s="1620"/>
      <c r="G9" s="1620"/>
      <c r="H9" s="1620"/>
      <c r="I9" s="1620"/>
      <c r="J9" s="77"/>
      <c r="K9" s="1611"/>
      <c r="L9" s="1610"/>
      <c r="M9" s="1611"/>
      <c r="N9" s="284"/>
      <c r="O9" s="282"/>
      <c r="Q9" s="1609"/>
    </row>
    <row r="10" spans="1:19" ht="18.75" customHeight="1" x14ac:dyDescent="0.25">
      <c r="A10" s="82" t="s">
        <v>15</v>
      </c>
      <c r="B10" s="80"/>
      <c r="C10" s="263"/>
      <c r="D10" s="80"/>
      <c r="E10" s="264"/>
      <c r="F10" s="126">
        <f>+'IMP Existente APROBADO'!E7</f>
        <v>1.8700000000000001E-2</v>
      </c>
      <c r="G10" s="126">
        <f>+'IMP Existente APROBADO'!E8</f>
        <v>1.32E-2</v>
      </c>
      <c r="H10" s="379">
        <f>+'IMP Existente APROBADO'!D10</f>
        <v>3.3385882564188139E-2</v>
      </c>
      <c r="I10" s="126">
        <f>+'IMP Existente APROBADO'!RRT</f>
        <v>7.2999999999999995E-2</v>
      </c>
      <c r="J10" s="127"/>
      <c r="K10" s="81"/>
      <c r="L10" s="384">
        <f>+'IPCT VNR_FA'!C27</f>
        <v>0.50979655790306455</v>
      </c>
      <c r="M10" s="81"/>
      <c r="N10" s="397"/>
      <c r="O10" s="283"/>
      <c r="Q10" s="266"/>
    </row>
    <row r="11" spans="1:19" x14ac:dyDescent="0.2">
      <c r="A11" s="1571" t="s">
        <v>3</v>
      </c>
      <c r="B11" s="1042"/>
      <c r="C11" s="1564"/>
      <c r="D11" s="1042"/>
      <c r="E11" s="1564"/>
      <c r="F11" s="1565"/>
      <c r="G11" s="1566"/>
      <c r="H11" s="1565"/>
      <c r="I11" s="1567"/>
      <c r="J11" s="60"/>
      <c r="K11" s="1570"/>
      <c r="L11" s="1565"/>
      <c r="M11" s="1567"/>
      <c r="N11" s="285"/>
      <c r="Q11" s="267"/>
    </row>
    <row r="12" spans="1:19" ht="18" x14ac:dyDescent="0.25">
      <c r="A12" s="1572" t="s">
        <v>86</v>
      </c>
      <c r="B12" s="23" t="str">
        <f>+[8]VNR2004!B8</f>
        <v>Miles B/./Salida</v>
      </c>
      <c r="C12" s="62">
        <f>+' VNR'!C5+' VNR'!C34</f>
        <v>9738.4810921140579</v>
      </c>
      <c r="D12" s="23">
        <f>+' VNR'!D5+' VNR'!D34</f>
        <v>4</v>
      </c>
      <c r="E12" s="62">
        <f>+C12/D12</f>
        <v>2434.6202730285145</v>
      </c>
      <c r="F12" s="23">
        <f>$E12*$F$10</f>
        <v>45.527399105633222</v>
      </c>
      <c r="G12" s="63">
        <f>+$E12*$G$10</f>
        <v>32.136987603976394</v>
      </c>
      <c r="H12" s="23">
        <f>$E12*$H$10</f>
        <v>81.281946523721643</v>
      </c>
      <c r="I12" s="88">
        <f>$E12*$I$10</f>
        <v>177.72727993108154</v>
      </c>
      <c r="J12" s="61"/>
      <c r="K12" s="95">
        <f>+F12+G12+H12+I12</f>
        <v>336.67361316441281</v>
      </c>
      <c r="L12" s="96"/>
      <c r="M12" s="255">
        <f>ROUND(+K12*$L$10,2)</f>
        <v>171.64</v>
      </c>
      <c r="N12" s="286"/>
      <c r="O12" s="295">
        <v>12</v>
      </c>
      <c r="P12" s="111"/>
      <c r="Q12" s="268">
        <f>+M12*D12/12*O12</f>
        <v>686.56</v>
      </c>
    </row>
    <row r="13" spans="1:19" ht="18" x14ac:dyDescent="0.25">
      <c r="A13" s="1573" t="s">
        <v>87</v>
      </c>
      <c r="B13" s="23" t="str">
        <f>+[8]VNR2004!B9</f>
        <v>Miles B/./Salida</v>
      </c>
      <c r="C13" s="62">
        <f>+' VNR'!C6</f>
        <v>38660.98630077891</v>
      </c>
      <c r="D13" s="23">
        <f>+' VNR'!D6</f>
        <v>13</v>
      </c>
      <c r="E13" s="62">
        <f t="shared" ref="E13:E15" si="0">+C13/D13</f>
        <v>2973.922023136839</v>
      </c>
      <c r="F13" s="23">
        <f t="shared" ref="F13:F26" si="1">$E13*$F$10</f>
        <v>55.612341832658892</v>
      </c>
      <c r="G13" s="63">
        <f t="shared" ref="G13:G26" si="2">+$E13*$G$10</f>
        <v>39.255770705406277</v>
      </c>
      <c r="H13" s="23">
        <f t="shared" ref="H13:H26" si="3">$E13*$H$10</f>
        <v>99.287011419499308</v>
      </c>
      <c r="I13" s="88">
        <f t="shared" ref="I13:I26" si="4">$E13*$I$10</f>
        <v>217.09630768898924</v>
      </c>
      <c r="J13" s="61"/>
      <c r="K13" s="95">
        <f t="shared" ref="K13:K18" si="5">+F13+G13+H13+I13</f>
        <v>411.25143164655367</v>
      </c>
      <c r="L13" s="96"/>
      <c r="M13" s="255">
        <f t="shared" ref="M13:M23" si="6">ROUND(+K13*$L$10,2)</f>
        <v>209.65</v>
      </c>
      <c r="N13" s="286"/>
      <c r="O13" s="295">
        <v>12</v>
      </c>
      <c r="Q13" s="268">
        <f>+M13*D13/12*O13</f>
        <v>2725.4500000000003</v>
      </c>
    </row>
    <row r="14" spans="1:19" ht="18" x14ac:dyDescent="0.25">
      <c r="A14" s="1573" t="s">
        <v>88</v>
      </c>
      <c r="B14" s="23" t="str">
        <f>+[8]VNR2004!B10</f>
        <v>Miles B/./Salida</v>
      </c>
      <c r="C14" s="62">
        <f>+' VNR'!C7</f>
        <v>2158.3127379330022</v>
      </c>
      <c r="D14" s="23">
        <f>+' VNR'!D7</f>
        <v>3</v>
      </c>
      <c r="E14" s="62">
        <f t="shared" si="0"/>
        <v>719.43757931100072</v>
      </c>
      <c r="F14" s="23">
        <f t="shared" si="1"/>
        <v>13.453482733115715</v>
      </c>
      <c r="G14" s="63">
        <f t="shared" si="2"/>
        <v>9.4965760469052096</v>
      </c>
      <c r="H14" s="23">
        <f t="shared" si="3"/>
        <v>24.019058535140861</v>
      </c>
      <c r="I14" s="88">
        <f t="shared" si="4"/>
        <v>52.518943289703046</v>
      </c>
      <c r="J14" s="61"/>
      <c r="K14" s="95">
        <f t="shared" si="5"/>
        <v>99.488060604864827</v>
      </c>
      <c r="L14" s="96"/>
      <c r="M14" s="255">
        <f t="shared" si="6"/>
        <v>50.72</v>
      </c>
      <c r="N14" s="286"/>
      <c r="O14" s="295">
        <v>12</v>
      </c>
      <c r="Q14" s="268">
        <f t="shared" ref="Q14:Q16" si="7">+M14*D14/12*O14</f>
        <v>152.16</v>
      </c>
    </row>
    <row r="15" spans="1:19" ht="18" x14ac:dyDescent="0.25">
      <c r="A15" s="1573" t="s">
        <v>89</v>
      </c>
      <c r="B15" s="23" t="str">
        <f>+[8]VNR2004!B11</f>
        <v>Miles B/./Salida</v>
      </c>
      <c r="C15" s="62">
        <f>+' VNR'!C8</f>
        <v>9091.9350774996201</v>
      </c>
      <c r="D15" s="23">
        <f>+' VNR'!D8</f>
        <v>3</v>
      </c>
      <c r="E15" s="62">
        <f t="shared" si="0"/>
        <v>3030.6450258332065</v>
      </c>
      <c r="F15" s="23">
        <f t="shared" si="1"/>
        <v>56.673061983080963</v>
      </c>
      <c r="G15" s="63">
        <f t="shared" si="2"/>
        <v>40.004514340998327</v>
      </c>
      <c r="H15" s="23">
        <f t="shared" si="3"/>
        <v>101.18075892620837</v>
      </c>
      <c r="I15" s="88">
        <f t="shared" si="4"/>
        <v>221.23708688582406</v>
      </c>
      <c r="J15" s="61"/>
      <c r="K15" s="95">
        <f t="shared" si="5"/>
        <v>419.09542213611172</v>
      </c>
      <c r="L15" s="96"/>
      <c r="M15" s="255">
        <f t="shared" si="6"/>
        <v>213.65</v>
      </c>
      <c r="N15" s="286"/>
      <c r="O15" s="295">
        <v>12</v>
      </c>
      <c r="Q15" s="268">
        <f t="shared" si="7"/>
        <v>640.95000000000005</v>
      </c>
    </row>
    <row r="16" spans="1:19" ht="18" x14ac:dyDescent="0.25">
      <c r="A16" s="1573" t="s">
        <v>98</v>
      </c>
      <c r="B16" s="59" t="s">
        <v>68</v>
      </c>
      <c r="C16" s="62">
        <f>+' VNR'!C9</f>
        <v>0</v>
      </c>
      <c r="D16" s="23">
        <f>+' VNR'!D9</f>
        <v>0</v>
      </c>
      <c r="E16" s="62">
        <f>+' VNR'!E9</f>
        <v>0</v>
      </c>
      <c r="F16" s="23">
        <f t="shared" si="1"/>
        <v>0</v>
      </c>
      <c r="G16" s="63">
        <f t="shared" si="2"/>
        <v>0</v>
      </c>
      <c r="H16" s="23">
        <f t="shared" si="3"/>
        <v>0</v>
      </c>
      <c r="I16" s="88">
        <f t="shared" si="4"/>
        <v>0</v>
      </c>
      <c r="J16" s="61"/>
      <c r="K16" s="95">
        <f t="shared" si="5"/>
        <v>0</v>
      </c>
      <c r="L16" s="96"/>
      <c r="M16" s="255">
        <f t="shared" si="6"/>
        <v>0</v>
      </c>
      <c r="N16" s="287"/>
      <c r="O16" s="295">
        <v>12</v>
      </c>
      <c r="Q16" s="268">
        <f t="shared" si="7"/>
        <v>0</v>
      </c>
    </row>
    <row r="17" spans="1:17" ht="18" x14ac:dyDescent="0.25">
      <c r="A17" s="1573" t="s">
        <v>99</v>
      </c>
      <c r="B17" s="23" t="str">
        <f>+[8]VNR2004!B13</f>
        <v>Miles B/./Salida</v>
      </c>
      <c r="C17" s="62">
        <f>+' VNR'!C10+' VNR'!C40+' VNR'!F40/2</f>
        <v>0</v>
      </c>
      <c r="D17" s="23"/>
      <c r="E17" s="62"/>
      <c r="F17" s="23">
        <f t="shared" si="1"/>
        <v>0</v>
      </c>
      <c r="G17" s="63">
        <f t="shared" si="2"/>
        <v>0</v>
      </c>
      <c r="H17" s="23">
        <f t="shared" si="3"/>
        <v>0</v>
      </c>
      <c r="I17" s="88">
        <f t="shared" si="4"/>
        <v>0</v>
      </c>
      <c r="J17" s="61"/>
      <c r="K17" s="95">
        <f t="shared" si="5"/>
        <v>0</v>
      </c>
      <c r="L17" s="96"/>
      <c r="M17" s="255">
        <f t="shared" si="6"/>
        <v>0</v>
      </c>
      <c r="N17" s="287"/>
      <c r="O17" s="295">
        <v>12</v>
      </c>
      <c r="Q17" s="268"/>
    </row>
    <row r="18" spans="1:17" ht="18" x14ac:dyDescent="0.25">
      <c r="A18" s="1574" t="s">
        <v>90</v>
      </c>
      <c r="B18" s="59" t="s">
        <v>68</v>
      </c>
      <c r="C18" s="1555">
        <f>+' VNR'!C11+' VNR'!C41</f>
        <v>39679.677890980718</v>
      </c>
      <c r="D18" s="23">
        <f>+' VNR'!D11+' VNR'!D41</f>
        <v>8</v>
      </c>
      <c r="E18" s="62">
        <f t="shared" ref="E18" si="8">+C18/D18</f>
        <v>4959.9597363725898</v>
      </c>
      <c r="F18" s="23">
        <f t="shared" si="1"/>
        <v>92.751247070167437</v>
      </c>
      <c r="G18" s="63">
        <f t="shared" si="2"/>
        <v>65.471468520118179</v>
      </c>
      <c r="H18" s="23">
        <f t="shared" si="3"/>
        <v>165.59263328163684</v>
      </c>
      <c r="I18" s="88">
        <f t="shared" si="4"/>
        <v>362.07706075519906</v>
      </c>
      <c r="J18" s="61"/>
      <c r="K18" s="184">
        <f t="shared" si="5"/>
        <v>685.89240962712142</v>
      </c>
      <c r="L18" s="96"/>
      <c r="M18" s="255">
        <f>ROUND(+K18*$L$10,2)</f>
        <v>349.67</v>
      </c>
      <c r="N18" s="286"/>
      <c r="O18" s="295">
        <v>12</v>
      </c>
      <c r="Q18" s="268">
        <f t="shared" ref="Q18" si="9">+M18*D18/12*O18</f>
        <v>2797.36</v>
      </c>
    </row>
    <row r="19" spans="1:17" ht="18" x14ac:dyDescent="0.25">
      <c r="A19" s="100" t="s">
        <v>168</v>
      </c>
      <c r="B19" s="59" t="s">
        <v>68</v>
      </c>
      <c r="C19" s="62">
        <f>+' VNR'!C12</f>
        <v>0</v>
      </c>
      <c r="D19" s="23"/>
      <c r="E19" s="62"/>
      <c r="F19" s="23"/>
      <c r="G19" s="63"/>
      <c r="H19" s="23"/>
      <c r="I19" s="88"/>
      <c r="J19" s="61"/>
      <c r="K19" s="184"/>
      <c r="L19" s="96"/>
      <c r="M19" s="255"/>
      <c r="N19" s="286"/>
      <c r="O19" s="295">
        <v>12</v>
      </c>
      <c r="Q19" s="268"/>
    </row>
    <row r="20" spans="1:17" ht="18" x14ac:dyDescent="0.25">
      <c r="A20" s="271" t="s">
        <v>4</v>
      </c>
      <c r="B20" s="23"/>
      <c r="C20" s="62"/>
      <c r="D20" s="23"/>
      <c r="E20" s="62"/>
      <c r="F20" s="23"/>
      <c r="G20" s="63"/>
      <c r="H20" s="23"/>
      <c r="I20" s="88"/>
      <c r="J20" s="61"/>
      <c r="K20" s="184"/>
      <c r="L20" s="96"/>
      <c r="M20" s="255"/>
      <c r="N20" s="286"/>
      <c r="O20" s="295">
        <v>12</v>
      </c>
      <c r="Q20" s="268"/>
    </row>
    <row r="21" spans="1:17" ht="18" x14ac:dyDescent="0.25">
      <c r="A21" s="112" t="str">
        <f>+' VNR'!B15</f>
        <v>CXTR Reductor 60/80/100 MVA</v>
      </c>
      <c r="B21" s="23" t="s">
        <v>97</v>
      </c>
      <c r="C21" s="62">
        <f>+' VNR'!C15</f>
        <v>5462.0117602370328</v>
      </c>
      <c r="D21" s="23">
        <f>+' VNR'!D15</f>
        <v>200</v>
      </c>
      <c r="E21" s="62">
        <f t="shared" ref="E21:E26" si="10">+C21/D21</f>
        <v>27.310058801185164</v>
      </c>
      <c r="F21" s="23">
        <f t="shared" si="1"/>
        <v>0.51069809958216261</v>
      </c>
      <c r="G21" s="63">
        <f t="shared" si="2"/>
        <v>0.36049277617564418</v>
      </c>
      <c r="H21" s="23">
        <f t="shared" si="3"/>
        <v>0.91177041595744057</v>
      </c>
      <c r="I21" s="88">
        <f t="shared" si="4"/>
        <v>1.9936342924865169</v>
      </c>
      <c r="J21" s="61"/>
      <c r="K21" s="185">
        <f>+G21+F21+H21+I21</f>
        <v>3.7765955842017642</v>
      </c>
      <c r="L21" s="96"/>
      <c r="M21" s="255">
        <f>ROUND(+K21*$L$10,2)</f>
        <v>1.93</v>
      </c>
      <c r="N21" s="286"/>
      <c r="O21" s="295">
        <v>12</v>
      </c>
      <c r="Q21" s="268">
        <f t="shared" ref="Q21:Q24" si="11">+M21*D21/12*O21</f>
        <v>386</v>
      </c>
    </row>
    <row r="22" spans="1:17" ht="18" x14ac:dyDescent="0.25">
      <c r="A22" s="113" t="s">
        <v>5</v>
      </c>
      <c r="B22" s="23" t="s">
        <v>97</v>
      </c>
      <c r="C22" s="62">
        <f>+' VNR'!C16</f>
        <v>5259.3836863563238</v>
      </c>
      <c r="D22" s="23">
        <f>+' VNR'!D16</f>
        <v>140</v>
      </c>
      <c r="E22" s="62">
        <f t="shared" si="10"/>
        <v>37.567026331116601</v>
      </c>
      <c r="F22" s="23">
        <f t="shared" si="1"/>
        <v>0.70250339239188053</v>
      </c>
      <c r="G22" s="63">
        <f t="shared" si="2"/>
        <v>0.49588474757073914</v>
      </c>
      <c r="H22" s="23">
        <f t="shared" si="3"/>
        <v>1.2542083293764223</v>
      </c>
      <c r="I22" s="88">
        <f t="shared" si="4"/>
        <v>2.7423929221715118</v>
      </c>
      <c r="J22" s="61"/>
      <c r="K22" s="185">
        <f>+G22+F22+H22+I22</f>
        <v>5.1949893915105534</v>
      </c>
      <c r="L22" s="96"/>
      <c r="M22" s="255">
        <f t="shared" si="6"/>
        <v>2.65</v>
      </c>
      <c r="N22" s="286"/>
      <c r="O22" s="295">
        <v>12</v>
      </c>
      <c r="Q22" s="268">
        <f t="shared" si="11"/>
        <v>371</v>
      </c>
    </row>
    <row r="23" spans="1:17" ht="18" x14ac:dyDescent="0.25">
      <c r="A23" s="113" t="s">
        <v>6</v>
      </c>
      <c r="B23" s="23" t="s">
        <v>97</v>
      </c>
      <c r="C23" s="62">
        <f>+' VNR'!C17</f>
        <v>4033.9847072919238</v>
      </c>
      <c r="D23" s="23">
        <f>+' VNR'!D17</f>
        <v>200</v>
      </c>
      <c r="E23" s="62">
        <f t="shared" si="10"/>
        <v>20.169923536459621</v>
      </c>
      <c r="F23" s="23">
        <f t="shared" si="1"/>
        <v>0.37717757013179493</v>
      </c>
      <c r="G23" s="63">
        <f t="shared" si="2"/>
        <v>0.266242990681267</v>
      </c>
      <c r="H23" s="23">
        <f t="shared" si="3"/>
        <v>0.67339069851689526</v>
      </c>
      <c r="I23" s="88">
        <f t="shared" si="4"/>
        <v>1.4724044181615521</v>
      </c>
      <c r="J23" s="61"/>
      <c r="K23" s="99">
        <f>+G23+F23+H23+I23</f>
        <v>2.7892156774915091</v>
      </c>
      <c r="L23" s="96"/>
      <c r="M23" s="255">
        <f t="shared" si="6"/>
        <v>1.42</v>
      </c>
      <c r="N23" s="286"/>
      <c r="O23" s="295">
        <v>12</v>
      </c>
      <c r="Q23" s="268">
        <f t="shared" si="11"/>
        <v>284</v>
      </c>
    </row>
    <row r="24" spans="1:17" ht="18" x14ac:dyDescent="0.25">
      <c r="A24" s="272" t="s">
        <v>7</v>
      </c>
      <c r="B24" s="23" t="s">
        <v>97</v>
      </c>
      <c r="C24" s="62">
        <f>+' VNR'!C18</f>
        <v>0</v>
      </c>
      <c r="D24" s="23">
        <f>+' VNR'!D18</f>
        <v>24</v>
      </c>
      <c r="E24" s="62">
        <f t="shared" si="10"/>
        <v>0</v>
      </c>
      <c r="F24" s="23">
        <f t="shared" si="1"/>
        <v>0</v>
      </c>
      <c r="G24" s="63">
        <f t="shared" si="2"/>
        <v>0</v>
      </c>
      <c r="H24" s="23">
        <f t="shared" si="3"/>
        <v>0</v>
      </c>
      <c r="I24" s="88">
        <f t="shared" si="4"/>
        <v>0</v>
      </c>
      <c r="J24" s="61"/>
      <c r="K24" s="99">
        <f>+G24+F24+H24+I24</f>
        <v>0</v>
      </c>
      <c r="L24" s="96"/>
      <c r="M24" s="255">
        <f>ROUND(+K24*$L$10,2)</f>
        <v>0</v>
      </c>
      <c r="N24" s="286"/>
      <c r="O24" s="295">
        <v>12</v>
      </c>
      <c r="P24" s="29"/>
      <c r="Q24" s="268">
        <f t="shared" si="11"/>
        <v>0</v>
      </c>
    </row>
    <row r="25" spans="1:17" ht="18" x14ac:dyDescent="0.25">
      <c r="A25" s="1575" t="s">
        <v>8</v>
      </c>
      <c r="B25" s="186" t="s">
        <v>11</v>
      </c>
      <c r="C25" s="62"/>
      <c r="D25" s="186"/>
      <c r="E25" s="62"/>
      <c r="F25" s="23"/>
      <c r="G25" s="63"/>
      <c r="H25" s="23"/>
      <c r="I25" s="88"/>
      <c r="J25" s="61"/>
      <c r="K25" s="99"/>
      <c r="L25" s="96"/>
      <c r="M25" s="97"/>
      <c r="N25" s="286"/>
      <c r="O25" s="295">
        <v>12</v>
      </c>
      <c r="P25" s="29"/>
      <c r="Q25" s="268"/>
    </row>
    <row r="26" spans="1:17" ht="18" x14ac:dyDescent="0.25">
      <c r="A26" s="1576" t="s">
        <v>135</v>
      </c>
      <c r="B26" s="23" t="str">
        <f>+[8]VNR2004!B21</f>
        <v>Miles B/./km</v>
      </c>
      <c r="C26" s="62">
        <f>+' VNR'!C22</f>
        <v>7309.3232731987555</v>
      </c>
      <c r="D26" s="23">
        <f>+' VNR'!D22</f>
        <v>38.299999999999997</v>
      </c>
      <c r="E26" s="62">
        <f t="shared" si="10"/>
        <v>190.84394969187352</v>
      </c>
      <c r="F26" s="23">
        <f t="shared" si="1"/>
        <v>3.5687818592380349</v>
      </c>
      <c r="G26" s="63">
        <f t="shared" si="2"/>
        <v>2.5191401359327306</v>
      </c>
      <c r="H26" s="23">
        <f t="shared" si="3"/>
        <v>6.3714936924987189</v>
      </c>
      <c r="I26" s="88">
        <f t="shared" si="4"/>
        <v>13.931608327506765</v>
      </c>
      <c r="J26" s="61"/>
      <c r="K26" s="95">
        <f t="shared" ref="K26" si="12">+F26+G26+H26+I26</f>
        <v>26.391024015176249</v>
      </c>
      <c r="L26" s="96"/>
      <c r="M26" s="255">
        <f>ROUND(+K26*$L$10,2)</f>
        <v>13.45</v>
      </c>
      <c r="N26" s="286"/>
      <c r="O26" s="295">
        <v>12</v>
      </c>
      <c r="P26" s="29"/>
      <c r="Q26" s="268">
        <f t="shared" ref="Q26" si="13">+M26*D26/12*O26</f>
        <v>515.13499999999999</v>
      </c>
    </row>
    <row r="27" spans="1:17" ht="18" x14ac:dyDescent="0.25">
      <c r="A27" s="1576" t="s">
        <v>139</v>
      </c>
      <c r="B27" s="23" t="str">
        <f>+[8]VNR2004!B22</f>
        <v>Miles B/./km</v>
      </c>
      <c r="C27" s="62"/>
      <c r="D27" s="23"/>
      <c r="E27" s="62"/>
      <c r="F27" s="23"/>
      <c r="G27" s="63"/>
      <c r="H27" s="23"/>
      <c r="I27" s="88"/>
      <c r="J27" s="61"/>
      <c r="K27" s="95"/>
      <c r="L27" s="96"/>
      <c r="M27" s="98" t="s">
        <v>128</v>
      </c>
      <c r="N27" s="287"/>
      <c r="O27" s="295">
        <v>12</v>
      </c>
      <c r="P27" s="29"/>
      <c r="Q27" s="268">
        <f>+' VNR'!O23</f>
        <v>0</v>
      </c>
    </row>
    <row r="28" spans="1:17" ht="18" x14ac:dyDescent="0.25">
      <c r="A28" s="1576" t="s">
        <v>93</v>
      </c>
      <c r="B28" s="23" t="str">
        <f>+[8]VNR2004!B23</f>
        <v>Miles B/./km</v>
      </c>
      <c r="C28" s="62"/>
      <c r="D28" s="23"/>
      <c r="E28" s="62"/>
      <c r="F28" s="23"/>
      <c r="G28" s="63"/>
      <c r="H28" s="23"/>
      <c r="I28" s="88"/>
      <c r="J28" s="61"/>
      <c r="K28" s="95"/>
      <c r="L28" s="96"/>
      <c r="M28" s="98" t="s">
        <v>128</v>
      </c>
      <c r="N28" s="287"/>
      <c r="O28" s="295">
        <v>12</v>
      </c>
      <c r="Q28" s="268">
        <f>+' VNR'!O24</f>
        <v>0</v>
      </c>
    </row>
    <row r="29" spans="1:17" ht="18" x14ac:dyDescent="0.25">
      <c r="A29" s="1576" t="s">
        <v>134</v>
      </c>
      <c r="B29" s="23" t="str">
        <f>+[8]VNR2004!B24</f>
        <v>Miles B/./km</v>
      </c>
      <c r="C29" s="62"/>
      <c r="D29" s="83"/>
      <c r="E29" s="125"/>
      <c r="F29" s="23"/>
      <c r="G29" s="63"/>
      <c r="H29" s="23"/>
      <c r="I29" s="88"/>
      <c r="J29" s="61"/>
      <c r="K29" s="95"/>
      <c r="L29" s="100"/>
      <c r="M29" s="98" t="s">
        <v>128</v>
      </c>
      <c r="N29" s="287"/>
      <c r="O29" s="295">
        <v>12</v>
      </c>
      <c r="Q29" s="269">
        <f>+' VNR'!R10</f>
        <v>0</v>
      </c>
    </row>
    <row r="30" spans="1:17" ht="18" x14ac:dyDescent="0.25">
      <c r="A30" s="1576" t="s">
        <v>138</v>
      </c>
      <c r="B30" s="59" t="s">
        <v>136</v>
      </c>
      <c r="C30" s="62"/>
      <c r="D30" s="265"/>
      <c r="E30" s="125"/>
      <c r="F30" s="83"/>
      <c r="G30" s="84"/>
      <c r="H30" s="83"/>
      <c r="I30" s="90"/>
      <c r="J30" s="61"/>
      <c r="K30" s="101"/>
      <c r="L30" s="100"/>
      <c r="M30" s="98" t="s">
        <v>128</v>
      </c>
      <c r="N30" s="287"/>
      <c r="O30" s="295">
        <v>12</v>
      </c>
      <c r="Q30" s="269">
        <f>+' VNR'!R11</f>
        <v>0</v>
      </c>
    </row>
    <row r="31" spans="1:17" ht="18" x14ac:dyDescent="0.25">
      <c r="A31" s="1576" t="s">
        <v>137</v>
      </c>
      <c r="B31" s="59" t="str">
        <f>+[8]VNR2004!B24</f>
        <v>Miles B/./km</v>
      </c>
      <c r="C31" s="62"/>
      <c r="D31" s="265"/>
      <c r="E31" s="125"/>
      <c r="F31" s="83"/>
      <c r="G31" s="84"/>
      <c r="H31" s="83"/>
      <c r="I31" s="90"/>
      <c r="J31" s="61"/>
      <c r="K31" s="101"/>
      <c r="L31" s="100"/>
      <c r="M31" s="98" t="s">
        <v>128</v>
      </c>
      <c r="N31" s="287"/>
      <c r="O31" s="295">
        <v>12</v>
      </c>
      <c r="Q31" s="269">
        <f>+' VNR'!O27</f>
        <v>0</v>
      </c>
    </row>
    <row r="32" spans="1:17" ht="18.75" thickBot="1" x14ac:dyDescent="0.3">
      <c r="A32" s="1577" t="s">
        <v>881</v>
      </c>
      <c r="B32" s="1568" t="s">
        <v>136</v>
      </c>
      <c r="C32" s="1561"/>
      <c r="D32" s="91">
        <f>+' VNR'!E83</f>
        <v>96.7</v>
      </c>
      <c r="E32" s="1569">
        <f t="shared" ref="E32" si="14">+C32/D32</f>
        <v>0</v>
      </c>
      <c r="F32" s="91">
        <f t="shared" ref="F32" si="15">$E32*$F$10</f>
        <v>0</v>
      </c>
      <c r="G32" s="92">
        <f t="shared" ref="G32" si="16">+$E32*$G$10</f>
        <v>0</v>
      </c>
      <c r="H32" s="91">
        <f t="shared" ref="H32" si="17">$E32*$H$10</f>
        <v>0</v>
      </c>
      <c r="I32" s="93">
        <f t="shared" ref="I32" si="18">$E32*$I$10</f>
        <v>0</v>
      </c>
      <c r="J32" s="61"/>
      <c r="K32" s="102">
        <f t="shared" ref="K32" si="19">+F32+G32+H32+I32</f>
        <v>0</v>
      </c>
      <c r="L32" s="103"/>
      <c r="M32" s="104">
        <f>ROUND(+K32*$L$10,2)</f>
        <v>0</v>
      </c>
      <c r="N32" s="287"/>
      <c r="O32" s="295">
        <v>12</v>
      </c>
      <c r="Q32" s="270">
        <f t="shared" ref="Q32" si="20">+M32*D32/12*O32</f>
        <v>0</v>
      </c>
    </row>
    <row r="33" spans="1:18" x14ac:dyDescent="0.2">
      <c r="A33" s="75"/>
      <c r="B33" s="279"/>
      <c r="C33" s="279">
        <f>SUM(C12:C32)</f>
        <v>121394.09652639033</v>
      </c>
      <c r="D33" s="279"/>
      <c r="E33" s="279"/>
      <c r="F33" s="279"/>
      <c r="G33" s="280"/>
      <c r="H33" s="279"/>
      <c r="I33" s="279"/>
      <c r="K33" s="280"/>
      <c r="L33" s="24"/>
      <c r="M33" s="281"/>
      <c r="N33" s="281"/>
      <c r="O33" s="281"/>
      <c r="Q33" s="279"/>
    </row>
    <row r="34" spans="1:18" x14ac:dyDescent="0.2">
      <c r="A34" s="75"/>
      <c r="C34" s="34"/>
      <c r="P34" t="s">
        <v>12</v>
      </c>
      <c r="Q34" s="34">
        <f>SUM(Q12:Q32)</f>
        <v>8558.6149999999998</v>
      </c>
    </row>
    <row r="35" spans="1:18" x14ac:dyDescent="0.2">
      <c r="K35" s="293"/>
    </row>
    <row r="36" spans="1:18" ht="15" x14ac:dyDescent="0.35">
      <c r="K36" s="294"/>
      <c r="Q36" s="865"/>
      <c r="R36" s="373"/>
    </row>
    <row r="37" spans="1:18" x14ac:dyDescent="0.2">
      <c r="Q37" s="34"/>
    </row>
  </sheetData>
  <mergeCells count="18">
    <mergeCell ref="A1:K1"/>
    <mergeCell ref="A2:K2"/>
    <mergeCell ref="A3:D6"/>
    <mergeCell ref="E8:E9"/>
    <mergeCell ref="K8:K9"/>
    <mergeCell ref="I8:I9"/>
    <mergeCell ref="H8:H9"/>
    <mergeCell ref="G8:G9"/>
    <mergeCell ref="A8:A9"/>
    <mergeCell ref="B8:B9"/>
    <mergeCell ref="E3:K3"/>
    <mergeCell ref="E5:K5"/>
    <mergeCell ref="F8:F9"/>
    <mergeCell ref="C8:C9"/>
    <mergeCell ref="D8:D9"/>
    <mergeCell ref="Q8:Q9"/>
    <mergeCell ref="L8:L9"/>
    <mergeCell ref="M8:M9"/>
  </mergeCells>
  <phoneticPr fontId="0" type="noConversion"/>
  <printOptions horizontalCentered="1" verticalCentered="1"/>
  <pageMargins left="0.62992125984251968" right="0.62992125984251968" top="1" bottom="1.3779527559055118" header="0" footer="1.0629921259842521"/>
  <pageSetup scale="65" orientation="landscape" r:id="rId1"/>
  <headerFooter alignWithMargins="0">
    <oddHeader>&amp;F</oddHeader>
    <oddFooter>&amp;L&amp;8HOJA:  &amp;A&amp;R&amp;D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8"/>
  <sheetViews>
    <sheetView zoomScale="70" zoomScaleNormal="70" workbookViewId="0">
      <selection activeCell="E23" sqref="E23"/>
    </sheetView>
  </sheetViews>
  <sheetFormatPr baseColWidth="10" defaultColWidth="11.42578125" defaultRowHeight="15" x14ac:dyDescent="0.25"/>
  <cols>
    <col min="1" max="1" width="7.28515625" style="835" customWidth="1"/>
    <col min="2" max="2" width="67.140625" style="764" customWidth="1"/>
    <col min="3" max="3" width="11.42578125" style="764"/>
    <col min="4" max="4" width="35" style="836" customWidth="1"/>
    <col min="5" max="5" width="14.85546875" style="764" customWidth="1"/>
    <col min="6" max="6" width="11.42578125" style="764"/>
    <col min="7" max="7" width="16.85546875" style="764" customWidth="1"/>
    <col min="8" max="8" width="19.7109375" style="764" customWidth="1"/>
    <col min="9" max="10" width="11.42578125" style="764"/>
    <col min="11" max="11" width="14.140625" style="764" bestFit="1" customWidth="1"/>
    <col min="12" max="16384" width="11.42578125" style="764"/>
  </cols>
  <sheetData>
    <row r="1" spans="1:7" ht="30" customHeight="1" thickBot="1" x14ac:dyDescent="0.3">
      <c r="A1" s="1724" t="s">
        <v>636</v>
      </c>
      <c r="B1" s="1725"/>
      <c r="C1" s="1725"/>
      <c r="D1" s="1725"/>
      <c r="E1" s="1726"/>
    </row>
    <row r="2" spans="1:7" ht="30" customHeight="1" thickBot="1" x14ac:dyDescent="0.3">
      <c r="A2" s="765" t="s">
        <v>561</v>
      </c>
      <c r="B2" s="766" t="s">
        <v>562</v>
      </c>
      <c r="C2" s="767" t="s">
        <v>70</v>
      </c>
      <c r="D2" s="768" t="s">
        <v>563</v>
      </c>
      <c r="E2" s="769" t="s">
        <v>564</v>
      </c>
    </row>
    <row r="3" spans="1:7" ht="15" customHeight="1" x14ac:dyDescent="0.25">
      <c r="A3" s="770">
        <v>1</v>
      </c>
      <c r="B3" s="771" t="s">
        <v>565</v>
      </c>
      <c r="C3" s="772"/>
      <c r="D3" s="773">
        <v>65250</v>
      </c>
      <c r="E3" s="774">
        <f>C3*D3</f>
        <v>0</v>
      </c>
    </row>
    <row r="4" spans="1:7" ht="15" customHeight="1" x14ac:dyDescent="0.25">
      <c r="A4" s="775">
        <f>+A3+1</f>
        <v>2</v>
      </c>
      <c r="B4" s="776" t="s">
        <v>566</v>
      </c>
      <c r="C4" s="772">
        <v>0</v>
      </c>
      <c r="D4" s="777">
        <v>74065.080135988333</v>
      </c>
      <c r="E4" s="774"/>
    </row>
    <row r="5" spans="1:7" ht="15" customHeight="1" x14ac:dyDescent="0.25">
      <c r="A5" s="775">
        <f t="shared" ref="A5:A40" si="0">+A4+1</f>
        <v>3</v>
      </c>
      <c r="B5" s="778" t="s">
        <v>567</v>
      </c>
      <c r="C5" s="772"/>
      <c r="D5" s="777">
        <v>19871.249588590235</v>
      </c>
      <c r="E5" s="779">
        <f t="shared" ref="E5:E39" si="1">C5*D5</f>
        <v>0</v>
      </c>
      <c r="G5" s="780"/>
    </row>
    <row r="6" spans="1:7" ht="15" customHeight="1" x14ac:dyDescent="0.25">
      <c r="A6" s="775">
        <f t="shared" si="0"/>
        <v>4</v>
      </c>
      <c r="B6" s="776" t="s">
        <v>568</v>
      </c>
      <c r="C6" s="781"/>
      <c r="D6" s="777">
        <v>17539.134129330989</v>
      </c>
      <c r="E6" s="779">
        <f t="shared" si="1"/>
        <v>0</v>
      </c>
      <c r="G6" s="780"/>
    </row>
    <row r="7" spans="1:7" ht="15" customHeight="1" x14ac:dyDescent="0.25">
      <c r="A7" s="775">
        <f t="shared" si="0"/>
        <v>5</v>
      </c>
      <c r="B7" s="776" t="s">
        <v>569</v>
      </c>
      <c r="C7" s="772"/>
      <c r="D7" s="777">
        <v>10356</v>
      </c>
      <c r="E7" s="779">
        <f t="shared" si="1"/>
        <v>0</v>
      </c>
      <c r="G7" s="780"/>
    </row>
    <row r="8" spans="1:7" ht="15" customHeight="1" x14ac:dyDescent="0.25">
      <c r="A8" s="775">
        <f t="shared" si="0"/>
        <v>6</v>
      </c>
      <c r="B8" s="776" t="s">
        <v>570</v>
      </c>
      <c r="C8" s="772">
        <v>0</v>
      </c>
      <c r="D8" s="777">
        <v>11733</v>
      </c>
      <c r="E8" s="779">
        <f t="shared" si="1"/>
        <v>0</v>
      </c>
    </row>
    <row r="9" spans="1:7" ht="15" customHeight="1" x14ac:dyDescent="0.25">
      <c r="A9" s="775">
        <f t="shared" si="0"/>
        <v>7</v>
      </c>
      <c r="B9" s="776" t="s">
        <v>571</v>
      </c>
      <c r="C9" s="772">
        <v>0</v>
      </c>
      <c r="D9" s="777">
        <v>162000</v>
      </c>
      <c r="E9" s="779">
        <f t="shared" si="1"/>
        <v>0</v>
      </c>
    </row>
    <row r="10" spans="1:7" ht="15" customHeight="1" x14ac:dyDescent="0.25">
      <c r="A10" s="775">
        <f t="shared" si="0"/>
        <v>8</v>
      </c>
      <c r="B10" s="776" t="s">
        <v>572</v>
      </c>
      <c r="C10" s="772">
        <v>0</v>
      </c>
      <c r="D10" s="777">
        <v>164000</v>
      </c>
      <c r="E10" s="779">
        <f t="shared" si="1"/>
        <v>0</v>
      </c>
    </row>
    <row r="11" spans="1:7" ht="15" customHeight="1" x14ac:dyDescent="0.25">
      <c r="A11" s="775">
        <f t="shared" si="0"/>
        <v>9</v>
      </c>
      <c r="B11" s="776" t="s">
        <v>573</v>
      </c>
      <c r="C11" s="772">
        <v>0</v>
      </c>
      <c r="D11" s="777">
        <v>50000</v>
      </c>
      <c r="E11" s="779">
        <f t="shared" si="1"/>
        <v>0</v>
      </c>
    </row>
    <row r="12" spans="1:7" ht="15" customHeight="1" x14ac:dyDescent="0.25">
      <c r="A12" s="775">
        <f t="shared" si="0"/>
        <v>10</v>
      </c>
      <c r="B12" s="776" t="s">
        <v>574</v>
      </c>
      <c r="C12" s="772">
        <v>0</v>
      </c>
      <c r="D12" s="777">
        <v>24000</v>
      </c>
      <c r="E12" s="779">
        <f t="shared" si="1"/>
        <v>0</v>
      </c>
      <c r="G12" s="780"/>
    </row>
    <row r="13" spans="1:7" ht="15" customHeight="1" x14ac:dyDescent="0.25">
      <c r="A13" s="775">
        <f t="shared" si="0"/>
        <v>11</v>
      </c>
      <c r="B13" s="776" t="s">
        <v>575</v>
      </c>
      <c r="C13" s="772">
        <v>2</v>
      </c>
      <c r="D13" s="777">
        <v>20760</v>
      </c>
      <c r="E13" s="779">
        <f t="shared" si="1"/>
        <v>41520</v>
      </c>
      <c r="G13" s="780"/>
    </row>
    <row r="14" spans="1:7" ht="15" customHeight="1" x14ac:dyDescent="0.25">
      <c r="A14" s="775">
        <f t="shared" si="0"/>
        <v>12</v>
      </c>
      <c r="B14" s="776" t="s">
        <v>576</v>
      </c>
      <c r="C14" s="772">
        <v>0</v>
      </c>
      <c r="D14" s="777">
        <v>16614</v>
      </c>
      <c r="E14" s="779">
        <f t="shared" si="1"/>
        <v>0</v>
      </c>
      <c r="G14" s="780"/>
    </row>
    <row r="15" spans="1:7" ht="15" customHeight="1" x14ac:dyDescent="0.25">
      <c r="A15" s="775">
        <f t="shared" si="0"/>
        <v>13</v>
      </c>
      <c r="B15" s="776" t="s">
        <v>577</v>
      </c>
      <c r="C15" s="772">
        <v>0</v>
      </c>
      <c r="D15" s="777">
        <v>7000</v>
      </c>
      <c r="E15" s="779">
        <f t="shared" si="1"/>
        <v>0</v>
      </c>
      <c r="G15" s="780"/>
    </row>
    <row r="16" spans="1:7" ht="15" customHeight="1" x14ac:dyDescent="0.25">
      <c r="A16" s="775">
        <f t="shared" si="0"/>
        <v>14</v>
      </c>
      <c r="B16" s="776" t="s">
        <v>578</v>
      </c>
      <c r="C16" s="772"/>
      <c r="D16" s="777">
        <v>4400</v>
      </c>
      <c r="E16" s="779">
        <f t="shared" si="1"/>
        <v>0</v>
      </c>
      <c r="G16" s="780"/>
    </row>
    <row r="17" spans="1:7" ht="15" customHeight="1" x14ac:dyDescent="0.25">
      <c r="A17" s="775">
        <f t="shared" si="0"/>
        <v>15</v>
      </c>
      <c r="B17" s="782" t="s">
        <v>579</v>
      </c>
      <c r="C17" s="772">
        <v>0</v>
      </c>
      <c r="D17" s="777">
        <v>19000</v>
      </c>
      <c r="E17" s="779">
        <f t="shared" si="1"/>
        <v>0</v>
      </c>
      <c r="G17" s="780"/>
    </row>
    <row r="18" spans="1:7" ht="15" customHeight="1" x14ac:dyDescent="0.25">
      <c r="A18" s="775">
        <f t="shared" si="0"/>
        <v>16</v>
      </c>
      <c r="B18" s="782" t="s">
        <v>580</v>
      </c>
      <c r="C18" s="772"/>
      <c r="D18" s="777">
        <v>13609.78260869565</v>
      </c>
      <c r="E18" s="779">
        <f t="shared" si="1"/>
        <v>0</v>
      </c>
      <c r="G18" s="780"/>
    </row>
    <row r="19" spans="1:7" ht="15" customHeight="1" x14ac:dyDescent="0.25">
      <c r="A19" s="775">
        <f t="shared" si="0"/>
        <v>17</v>
      </c>
      <c r="B19" s="782" t="s">
        <v>581</v>
      </c>
      <c r="C19" s="772">
        <v>0</v>
      </c>
      <c r="D19" s="777">
        <v>17000</v>
      </c>
      <c r="E19" s="779">
        <f t="shared" si="1"/>
        <v>0</v>
      </c>
      <c r="G19" s="780"/>
    </row>
    <row r="20" spans="1:7" ht="15" customHeight="1" x14ac:dyDescent="0.25">
      <c r="A20" s="775">
        <f t="shared" si="0"/>
        <v>18</v>
      </c>
      <c r="B20" s="782" t="s">
        <v>582</v>
      </c>
      <c r="C20" s="772"/>
      <c r="D20" s="777">
        <v>11600</v>
      </c>
      <c r="E20" s="779">
        <f t="shared" si="1"/>
        <v>0</v>
      </c>
      <c r="G20" s="780"/>
    </row>
    <row r="21" spans="1:7" ht="15" customHeight="1" x14ac:dyDescent="0.25">
      <c r="A21" s="775">
        <f t="shared" si="0"/>
        <v>19</v>
      </c>
      <c r="B21" s="776" t="s">
        <v>583</v>
      </c>
      <c r="C21" s="772">
        <v>0</v>
      </c>
      <c r="D21" s="777">
        <v>35869.565217391311</v>
      </c>
      <c r="E21" s="779">
        <f t="shared" si="1"/>
        <v>0</v>
      </c>
      <c r="G21" s="780"/>
    </row>
    <row r="22" spans="1:7" ht="15" customHeight="1" x14ac:dyDescent="0.25">
      <c r="A22" s="775">
        <f t="shared" si="0"/>
        <v>20</v>
      </c>
      <c r="B22" s="776" t="s">
        <v>584</v>
      </c>
      <c r="C22" s="772">
        <v>0</v>
      </c>
      <c r="D22" s="777">
        <v>3500000</v>
      </c>
      <c r="E22" s="779">
        <f t="shared" si="1"/>
        <v>0</v>
      </c>
    </row>
    <row r="23" spans="1:7" ht="15" customHeight="1" x14ac:dyDescent="0.25">
      <c r="A23" s="775">
        <f t="shared" si="0"/>
        <v>21</v>
      </c>
      <c r="B23" s="776" t="s">
        <v>637</v>
      </c>
      <c r="C23" s="772">
        <v>1</v>
      </c>
      <c r="D23" s="777">
        <v>3200000</v>
      </c>
      <c r="E23" s="779">
        <f t="shared" si="1"/>
        <v>3200000</v>
      </c>
    </row>
    <row r="24" spans="1:7" ht="15" customHeight="1" x14ac:dyDescent="0.25">
      <c r="A24" s="775">
        <f t="shared" si="0"/>
        <v>22</v>
      </c>
      <c r="B24" s="776" t="s">
        <v>638</v>
      </c>
      <c r="C24" s="772">
        <v>0</v>
      </c>
      <c r="D24" s="777">
        <v>2000000</v>
      </c>
      <c r="E24" s="779">
        <f t="shared" si="1"/>
        <v>0</v>
      </c>
    </row>
    <row r="25" spans="1:7" ht="15" customHeight="1" x14ac:dyDescent="0.25">
      <c r="A25" s="775">
        <f t="shared" si="0"/>
        <v>23</v>
      </c>
      <c r="B25" s="776" t="s">
        <v>639</v>
      </c>
      <c r="C25" s="772">
        <v>2</v>
      </c>
      <c r="D25" s="777">
        <v>2700000</v>
      </c>
      <c r="E25" s="779">
        <f t="shared" si="1"/>
        <v>5400000</v>
      </c>
    </row>
    <row r="26" spans="1:7" ht="15" customHeight="1" x14ac:dyDescent="0.25">
      <c r="A26" s="775">
        <f t="shared" si="0"/>
        <v>24</v>
      </c>
      <c r="B26" s="776" t="s">
        <v>588</v>
      </c>
      <c r="C26" s="772">
        <v>0</v>
      </c>
      <c r="D26" s="777">
        <v>2150000</v>
      </c>
      <c r="E26" s="779">
        <f t="shared" si="1"/>
        <v>0</v>
      </c>
    </row>
    <row r="27" spans="1:7" ht="15" customHeight="1" x14ac:dyDescent="0.25">
      <c r="A27" s="775">
        <f t="shared" si="0"/>
        <v>25</v>
      </c>
      <c r="B27" s="776" t="s">
        <v>589</v>
      </c>
      <c r="C27" s="772">
        <v>0</v>
      </c>
      <c r="D27" s="777">
        <v>810000</v>
      </c>
      <c r="E27" s="779">
        <f t="shared" si="1"/>
        <v>0</v>
      </c>
    </row>
    <row r="28" spans="1:7" ht="15" customHeight="1" x14ac:dyDescent="0.25">
      <c r="A28" s="775">
        <f t="shared" si="0"/>
        <v>26</v>
      </c>
      <c r="B28" s="776" t="s">
        <v>590</v>
      </c>
      <c r="C28" s="772">
        <v>0</v>
      </c>
      <c r="D28" s="777">
        <v>160000</v>
      </c>
      <c r="E28" s="779">
        <f t="shared" si="1"/>
        <v>0</v>
      </c>
    </row>
    <row r="29" spans="1:7" ht="15" customHeight="1" x14ac:dyDescent="0.25">
      <c r="A29" s="775">
        <f t="shared" si="0"/>
        <v>27</v>
      </c>
      <c r="B29" s="776" t="s">
        <v>591</v>
      </c>
      <c r="C29" s="772">
        <v>0</v>
      </c>
      <c r="D29" s="777">
        <v>218000</v>
      </c>
      <c r="E29" s="779">
        <f t="shared" si="1"/>
        <v>0</v>
      </c>
    </row>
    <row r="30" spans="1:7" ht="15" customHeight="1" x14ac:dyDescent="0.25">
      <c r="A30" s="775">
        <f t="shared" si="0"/>
        <v>28</v>
      </c>
      <c r="B30" s="776" t="s">
        <v>592</v>
      </c>
      <c r="C30" s="772">
        <v>0</v>
      </c>
      <c r="D30" s="777">
        <v>850000</v>
      </c>
      <c r="E30" s="779">
        <f t="shared" si="1"/>
        <v>0</v>
      </c>
    </row>
    <row r="31" spans="1:7" ht="15" customHeight="1" x14ac:dyDescent="0.25">
      <c r="A31" s="775">
        <f t="shared" si="0"/>
        <v>29</v>
      </c>
      <c r="B31" s="776" t="s">
        <v>593</v>
      </c>
      <c r="C31" s="772">
        <v>0</v>
      </c>
      <c r="D31" s="777">
        <v>480000</v>
      </c>
      <c r="E31" s="779"/>
    </row>
    <row r="32" spans="1:7" ht="15" customHeight="1" x14ac:dyDescent="0.25">
      <c r="A32" s="775">
        <f t="shared" si="0"/>
        <v>30</v>
      </c>
      <c r="B32" s="776" t="s">
        <v>594</v>
      </c>
      <c r="C32" s="772"/>
      <c r="D32" s="777">
        <v>300000</v>
      </c>
      <c r="E32" s="779">
        <f t="shared" si="1"/>
        <v>0</v>
      </c>
    </row>
    <row r="33" spans="1:7" ht="15" customHeight="1" x14ac:dyDescent="0.25">
      <c r="A33" s="775">
        <f t="shared" si="0"/>
        <v>31</v>
      </c>
      <c r="B33" s="776" t="s">
        <v>595</v>
      </c>
      <c r="C33" s="772">
        <v>0</v>
      </c>
      <c r="D33" s="777">
        <v>200000</v>
      </c>
      <c r="E33" s="779">
        <f t="shared" si="1"/>
        <v>0</v>
      </c>
    </row>
    <row r="34" spans="1:7" ht="15" customHeight="1" x14ac:dyDescent="0.25">
      <c r="A34" s="775">
        <f t="shared" si="0"/>
        <v>32</v>
      </c>
      <c r="B34" s="776" t="s">
        <v>596</v>
      </c>
      <c r="C34" s="772">
        <v>0</v>
      </c>
      <c r="D34" s="777">
        <v>59800</v>
      </c>
      <c r="E34" s="779">
        <f t="shared" si="1"/>
        <v>0</v>
      </c>
    </row>
    <row r="35" spans="1:7" ht="15" customHeight="1" x14ac:dyDescent="0.25">
      <c r="A35" s="775">
        <f t="shared" si="0"/>
        <v>33</v>
      </c>
      <c r="B35" s="776" t="s">
        <v>597</v>
      </c>
      <c r="C35" s="772">
        <v>0</v>
      </c>
      <c r="D35" s="777">
        <v>7400</v>
      </c>
      <c r="E35" s="779">
        <f t="shared" si="1"/>
        <v>0</v>
      </c>
      <c r="G35" s="780"/>
    </row>
    <row r="36" spans="1:7" ht="15" customHeight="1" x14ac:dyDescent="0.25">
      <c r="A36" s="775">
        <f t="shared" si="0"/>
        <v>34</v>
      </c>
      <c r="B36" s="776" t="s">
        <v>598</v>
      </c>
      <c r="C36" s="772">
        <v>0</v>
      </c>
      <c r="D36" s="777">
        <v>14201.865057597364</v>
      </c>
      <c r="E36" s="779">
        <f t="shared" si="1"/>
        <v>0</v>
      </c>
      <c r="G36" s="780"/>
    </row>
    <row r="37" spans="1:7" ht="15" customHeight="1" x14ac:dyDescent="0.25">
      <c r="A37" s="775">
        <f t="shared" si="0"/>
        <v>35</v>
      </c>
      <c r="B37" s="776" t="s">
        <v>599</v>
      </c>
      <c r="C37" s="772">
        <v>0</v>
      </c>
      <c r="D37" s="777">
        <v>9000</v>
      </c>
      <c r="E37" s="779">
        <f t="shared" si="1"/>
        <v>0</v>
      </c>
      <c r="G37" s="780"/>
    </row>
    <row r="38" spans="1:7" ht="15" customHeight="1" x14ac:dyDescent="0.25">
      <c r="A38" s="775">
        <f t="shared" si="0"/>
        <v>36</v>
      </c>
      <c r="B38" s="776" t="s">
        <v>600</v>
      </c>
      <c r="C38" s="772">
        <v>0</v>
      </c>
      <c r="D38" s="777">
        <v>1468.0412371134018</v>
      </c>
      <c r="E38" s="779">
        <f t="shared" si="1"/>
        <v>0</v>
      </c>
      <c r="G38" s="780"/>
    </row>
    <row r="39" spans="1:7" ht="15" customHeight="1" x14ac:dyDescent="0.25">
      <c r="A39" s="775">
        <f t="shared" si="0"/>
        <v>37</v>
      </c>
      <c r="B39" s="776" t="s">
        <v>601</v>
      </c>
      <c r="C39" s="772">
        <v>0</v>
      </c>
      <c r="D39" s="777">
        <v>6775.3623188405809</v>
      </c>
      <c r="E39" s="779">
        <f t="shared" si="1"/>
        <v>0</v>
      </c>
      <c r="G39" s="780"/>
    </row>
    <row r="40" spans="1:7" ht="15" customHeight="1" x14ac:dyDescent="0.25">
      <c r="A40" s="783">
        <f t="shared" si="0"/>
        <v>38</v>
      </c>
      <c r="B40" s="784" t="s">
        <v>602</v>
      </c>
      <c r="C40" s="785">
        <v>0</v>
      </c>
      <c r="D40" s="786">
        <v>6918.4782608695632</v>
      </c>
      <c r="E40" s="787">
        <f>C40*D40</f>
        <v>0</v>
      </c>
      <c r="G40" s="780"/>
    </row>
    <row r="41" spans="1:7" ht="15" customHeight="1" x14ac:dyDescent="0.25">
      <c r="A41" s="788"/>
      <c r="B41" s="789"/>
      <c r="C41" s="790"/>
      <c r="D41" s="791"/>
      <c r="E41" s="774"/>
    </row>
    <row r="42" spans="1:7" ht="15" customHeight="1" x14ac:dyDescent="0.25">
      <c r="A42" s="792"/>
      <c r="B42" s="793" t="s">
        <v>603</v>
      </c>
      <c r="C42" s="794"/>
      <c r="D42" s="795"/>
      <c r="E42" s="796">
        <f>SUM(E3:E40)</f>
        <v>8641520</v>
      </c>
    </row>
    <row r="43" spans="1:7" ht="15" customHeight="1" thickBot="1" x14ac:dyDescent="0.3">
      <c r="A43" s="797"/>
      <c r="B43" s="798" t="s">
        <v>604</v>
      </c>
      <c r="C43" s="799"/>
      <c r="D43" s="800"/>
      <c r="E43" s="801">
        <f>+E42-SUM(E22:E33)</f>
        <v>41520</v>
      </c>
    </row>
    <row r="44" spans="1:7" ht="30" customHeight="1" x14ac:dyDescent="0.25">
      <c r="A44" s="802"/>
      <c r="B44" s="803"/>
      <c r="C44" s="804"/>
      <c r="D44" s="805" t="s">
        <v>605</v>
      </c>
      <c r="E44" s="806"/>
    </row>
    <row r="45" spans="1:7" ht="15" customHeight="1" x14ac:dyDescent="0.25">
      <c r="A45" s="807">
        <f>+A40+1</f>
        <v>39</v>
      </c>
      <c r="B45" s="808" t="s">
        <v>606</v>
      </c>
      <c r="C45" s="809" t="s">
        <v>607</v>
      </c>
      <c r="D45" s="810">
        <v>5</v>
      </c>
      <c r="E45" s="811">
        <f>$E$43*D45/100</f>
        <v>2076</v>
      </c>
    </row>
    <row r="46" spans="1:7" ht="15" customHeight="1" x14ac:dyDescent="0.25">
      <c r="A46" s="775">
        <f>+A45+1</f>
        <v>40</v>
      </c>
      <c r="B46" s="808" t="s">
        <v>608</v>
      </c>
      <c r="C46" s="809" t="s">
        <v>607</v>
      </c>
      <c r="D46" s="810">
        <v>12</v>
      </c>
      <c r="E46" s="811">
        <f>$E$43*D46/100</f>
        <v>4982.3999999999996</v>
      </c>
    </row>
    <row r="47" spans="1:7" ht="15" customHeight="1" x14ac:dyDescent="0.25">
      <c r="A47" s="775">
        <f>+A46+1</f>
        <v>41</v>
      </c>
      <c r="B47" s="808" t="s">
        <v>609</v>
      </c>
      <c r="C47" s="809" t="s">
        <v>607</v>
      </c>
      <c r="D47" s="810">
        <v>50</v>
      </c>
      <c r="E47" s="811">
        <f>E43*D47/100</f>
        <v>20760</v>
      </c>
    </row>
    <row r="48" spans="1:7" ht="15" customHeight="1" x14ac:dyDescent="0.25">
      <c r="A48" s="775">
        <f>+A47+1</f>
        <v>42</v>
      </c>
      <c r="B48" s="808" t="s">
        <v>610</v>
      </c>
      <c r="C48" s="809" t="s">
        <v>607</v>
      </c>
      <c r="D48" s="810">
        <v>70</v>
      </c>
      <c r="E48" s="811">
        <f>E43*D48/100</f>
        <v>29064</v>
      </c>
    </row>
    <row r="49" spans="1:8" x14ac:dyDescent="0.25">
      <c r="A49" s="775">
        <f>+A48+1</f>
        <v>43</v>
      </c>
      <c r="B49" s="808" t="s">
        <v>611</v>
      </c>
      <c r="C49" s="809" t="s">
        <v>607</v>
      </c>
      <c r="D49" s="810">
        <v>15</v>
      </c>
      <c r="E49" s="811">
        <f>E43*D49/100</f>
        <v>6228</v>
      </c>
    </row>
    <row r="50" spans="1:8" x14ac:dyDescent="0.25">
      <c r="A50" s="775">
        <f>+A49+1</f>
        <v>44</v>
      </c>
      <c r="B50" s="808" t="s">
        <v>612</v>
      </c>
      <c r="C50" s="809" t="s">
        <v>607</v>
      </c>
      <c r="D50" s="810">
        <v>25</v>
      </c>
      <c r="E50" s="811">
        <f>E43*D50/100</f>
        <v>10380</v>
      </c>
    </row>
    <row r="51" spans="1:8" x14ac:dyDescent="0.25">
      <c r="A51" s="807"/>
      <c r="B51" s="808"/>
      <c r="C51" s="809"/>
      <c r="D51" s="776"/>
      <c r="E51" s="779"/>
    </row>
    <row r="52" spans="1:8" ht="15.75" thickBot="1" x14ac:dyDescent="0.3">
      <c r="A52" s="797"/>
      <c r="B52" s="812" t="s">
        <v>613</v>
      </c>
      <c r="C52" s="813"/>
      <c r="D52" s="814"/>
      <c r="E52" s="801">
        <f>+E42+SUM(E45:E50)</f>
        <v>8715010.4000000004</v>
      </c>
    </row>
    <row r="53" spans="1:8" x14ac:dyDescent="0.25">
      <c r="A53" s="802"/>
      <c r="B53" s="803"/>
      <c r="C53" s="815"/>
      <c r="D53" s="816" t="s">
        <v>614</v>
      </c>
      <c r="E53" s="806"/>
    </row>
    <row r="54" spans="1:8" x14ac:dyDescent="0.25">
      <c r="A54" s="807">
        <f>+A50+1</f>
        <v>45</v>
      </c>
      <c r="B54" s="808" t="s">
        <v>615</v>
      </c>
      <c r="C54" s="809" t="s">
        <v>607</v>
      </c>
      <c r="D54" s="810">
        <v>15</v>
      </c>
      <c r="E54" s="779">
        <f>E52*D54/100</f>
        <v>1307251.56</v>
      </c>
    </row>
    <row r="55" spans="1:8" x14ac:dyDescent="0.25">
      <c r="A55" s="775">
        <f>+A54+1</f>
        <v>46</v>
      </c>
      <c r="B55" s="808" t="s">
        <v>616</v>
      </c>
      <c r="C55" s="809" t="s">
        <v>607</v>
      </c>
      <c r="D55" s="817">
        <v>25</v>
      </c>
      <c r="E55" s="779">
        <f>E52*D55/100</f>
        <v>2178752.6</v>
      </c>
    </row>
    <row r="56" spans="1:8" x14ac:dyDescent="0.25">
      <c r="A56" s="807"/>
      <c r="B56" s="808"/>
      <c r="C56" s="818"/>
      <c r="D56" s="776"/>
      <c r="E56" s="779"/>
    </row>
    <row r="57" spans="1:8" ht="15.75" thickBot="1" x14ac:dyDescent="0.3">
      <c r="A57" s="797"/>
      <c r="B57" s="812" t="s">
        <v>618</v>
      </c>
      <c r="C57" s="813"/>
      <c r="D57" s="814"/>
      <c r="E57" s="801">
        <f>SUM(E52,E54,E55)</f>
        <v>12201014.560000001</v>
      </c>
    </row>
    <row r="58" spans="1:8" x14ac:dyDescent="0.25">
      <c r="A58" s="802"/>
      <c r="B58" s="803"/>
      <c r="C58" s="820"/>
      <c r="D58" s="816" t="s">
        <v>620</v>
      </c>
      <c r="E58" s="821"/>
    </row>
    <row r="59" spans="1:8" x14ac:dyDescent="0.25">
      <c r="A59" s="807">
        <f>A55+1</f>
        <v>47</v>
      </c>
      <c r="B59" s="808" t="s">
        <v>622</v>
      </c>
      <c r="C59" s="818"/>
      <c r="D59" s="822">
        <v>5</v>
      </c>
      <c r="E59" s="779">
        <f t="shared" ref="E59:E65" si="2">$E$57*D59/100</f>
        <v>610050.728</v>
      </c>
      <c r="G59" s="764" t="s">
        <v>619</v>
      </c>
      <c r="H59" s="764">
        <v>8600000</v>
      </c>
    </row>
    <row r="60" spans="1:8" x14ac:dyDescent="0.25">
      <c r="A60" s="775">
        <f t="shared" ref="A60:A66" si="3">+A59+1</f>
        <v>48</v>
      </c>
      <c r="B60" s="823" t="s">
        <v>623</v>
      </c>
      <c r="C60" s="818"/>
      <c r="D60" s="822">
        <v>3</v>
      </c>
      <c r="E60" s="779">
        <f t="shared" si="2"/>
        <v>366030.43680000002</v>
      </c>
      <c r="G60" s="764" t="s">
        <v>621</v>
      </c>
      <c r="H60" s="764">
        <v>6945375.4188640006</v>
      </c>
    </row>
    <row r="61" spans="1:8" x14ac:dyDescent="0.25">
      <c r="A61" s="775">
        <f t="shared" si="3"/>
        <v>49</v>
      </c>
      <c r="B61" s="808" t="s">
        <v>625</v>
      </c>
      <c r="C61" s="818"/>
      <c r="D61" s="822">
        <v>4</v>
      </c>
      <c r="E61" s="779">
        <f t="shared" si="2"/>
        <v>488040.58240000001</v>
      </c>
      <c r="H61" s="764">
        <v>15545375.418864001</v>
      </c>
    </row>
    <row r="62" spans="1:8" x14ac:dyDescent="0.25">
      <c r="A62" s="775">
        <f t="shared" si="3"/>
        <v>50</v>
      </c>
      <c r="B62" s="823" t="s">
        <v>339</v>
      </c>
      <c r="C62" s="818"/>
      <c r="D62" s="822">
        <v>4</v>
      </c>
      <c r="E62" s="779">
        <f t="shared" si="2"/>
        <v>488040.58240000001</v>
      </c>
      <c r="G62" s="764" t="s">
        <v>624</v>
      </c>
    </row>
    <row r="63" spans="1:8" x14ac:dyDescent="0.25">
      <c r="A63" s="775">
        <f t="shared" si="3"/>
        <v>51</v>
      </c>
      <c r="B63" s="808" t="s">
        <v>626</v>
      </c>
      <c r="C63" s="818"/>
      <c r="D63" s="822">
        <v>5</v>
      </c>
      <c r="E63" s="779">
        <f t="shared" si="2"/>
        <v>610050.728</v>
      </c>
      <c r="G63" s="764" t="s">
        <v>619</v>
      </c>
      <c r="H63" s="764">
        <v>7856195.7087435247</v>
      </c>
    </row>
    <row r="64" spans="1:8" x14ac:dyDescent="0.25">
      <c r="A64" s="775">
        <f t="shared" si="3"/>
        <v>52</v>
      </c>
      <c r="B64" s="823" t="s">
        <v>628</v>
      </c>
      <c r="C64" s="818"/>
      <c r="D64" s="822">
        <v>6</v>
      </c>
      <c r="E64" s="779">
        <f t="shared" si="2"/>
        <v>732060.87360000005</v>
      </c>
      <c r="G64" s="764" t="s">
        <v>621</v>
      </c>
      <c r="H64" s="764">
        <v>6344677.7396851303</v>
      </c>
    </row>
    <row r="65" spans="1:11" x14ac:dyDescent="0.25">
      <c r="A65" s="775">
        <f t="shared" si="3"/>
        <v>53</v>
      </c>
      <c r="B65" s="808" t="s">
        <v>629</v>
      </c>
      <c r="C65" s="818"/>
      <c r="D65" s="822">
        <v>0.19</v>
      </c>
      <c r="E65" s="779">
        <f t="shared" si="2"/>
        <v>23181.927664000003</v>
      </c>
      <c r="G65" s="764" t="s">
        <v>627</v>
      </c>
      <c r="H65" s="764">
        <v>14200873.448428655</v>
      </c>
    </row>
    <row r="66" spans="1:11" ht="15.75" thickBot="1" x14ac:dyDescent="0.3">
      <c r="A66" s="824">
        <f t="shared" si="3"/>
        <v>54</v>
      </c>
      <c r="B66" s="825" t="s">
        <v>630</v>
      </c>
      <c r="C66" s="826" t="s">
        <v>631</v>
      </c>
      <c r="D66" s="827">
        <v>0</v>
      </c>
      <c r="E66" s="828">
        <v>26905</v>
      </c>
    </row>
    <row r="67" spans="1:11" ht="15.75" thickBot="1" x14ac:dyDescent="0.3">
      <c r="A67" s="797"/>
      <c r="B67" s="829" t="s">
        <v>632</v>
      </c>
      <c r="C67" s="813"/>
      <c r="D67" s="814"/>
      <c r="E67" s="830">
        <f>SUM(E57,E59:E66)</f>
        <v>15545375.418864001</v>
      </c>
    </row>
    <row r="68" spans="1:11" x14ac:dyDescent="0.25">
      <c r="A68" s="831"/>
      <c r="B68" s="832"/>
      <c r="C68" s="832"/>
      <c r="D68" s="833"/>
      <c r="E68" s="832"/>
      <c r="I68" s="839"/>
    </row>
    <row r="69" spans="1:11" x14ac:dyDescent="0.25">
      <c r="G69" s="764" t="s">
        <v>617</v>
      </c>
    </row>
    <row r="70" spans="1:11" x14ac:dyDescent="0.25">
      <c r="G70" s="764" t="s">
        <v>619</v>
      </c>
      <c r="H70" s="834">
        <f>+E23</f>
        <v>3200000</v>
      </c>
      <c r="I70" s="764" t="s">
        <v>640</v>
      </c>
      <c r="J70" s="840">
        <v>8.6488871076334309E-2</v>
      </c>
      <c r="K70" s="764" t="s">
        <v>634</v>
      </c>
    </row>
    <row r="71" spans="1:11" x14ac:dyDescent="0.25">
      <c r="H71" s="834">
        <f>+E25</f>
        <v>5400000</v>
      </c>
      <c r="I71" s="764" t="s">
        <v>641</v>
      </c>
    </row>
    <row r="72" spans="1:11" x14ac:dyDescent="0.25">
      <c r="G72" s="764" t="s">
        <v>621</v>
      </c>
      <c r="H72" s="834">
        <f>+E67-H70-H71</f>
        <v>6945375.4188640006</v>
      </c>
    </row>
    <row r="73" spans="1:11" x14ac:dyDescent="0.25">
      <c r="H73" s="834">
        <f>SUM(H70:H72)</f>
        <v>15545375.418864001</v>
      </c>
    </row>
    <row r="74" spans="1:11" x14ac:dyDescent="0.25">
      <c r="G74" s="764" t="s">
        <v>624</v>
      </c>
    </row>
    <row r="75" spans="1:11" x14ac:dyDescent="0.25">
      <c r="G75" s="764" t="s">
        <v>619</v>
      </c>
      <c r="H75" s="838">
        <f>+H70-(H70*J70)</f>
        <v>2923235.6125557302</v>
      </c>
      <c r="I75" s="764" t="s">
        <v>640</v>
      </c>
    </row>
    <row r="76" spans="1:11" x14ac:dyDescent="0.25">
      <c r="H76" s="838">
        <f>+H71-(H71*J70)</f>
        <v>4932960.0961877946</v>
      </c>
      <c r="I76" s="764" t="s">
        <v>641</v>
      </c>
    </row>
    <row r="77" spans="1:11" x14ac:dyDescent="0.25">
      <c r="G77" s="764" t="s">
        <v>621</v>
      </c>
      <c r="H77" s="838">
        <f>+H72-(H72*J70)</f>
        <v>6344677.7396851303</v>
      </c>
    </row>
    <row r="78" spans="1:11" x14ac:dyDescent="0.25">
      <c r="G78" s="764" t="s">
        <v>627</v>
      </c>
      <c r="H78" s="838">
        <f>SUM(H75:H77)</f>
        <v>14200873.448428655</v>
      </c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1"/>
  <sheetViews>
    <sheetView topLeftCell="A57" zoomScale="85" zoomScaleNormal="85" workbookViewId="0">
      <selection activeCell="E67" sqref="E67"/>
    </sheetView>
  </sheetViews>
  <sheetFormatPr baseColWidth="10" defaultColWidth="11.42578125" defaultRowHeight="15" x14ac:dyDescent="0.25"/>
  <cols>
    <col min="1" max="1" width="7.28515625" style="835" customWidth="1"/>
    <col min="2" max="2" width="67.140625" style="764" customWidth="1"/>
    <col min="3" max="3" width="11.42578125" style="764"/>
    <col min="4" max="4" width="35" style="836" customWidth="1"/>
    <col min="5" max="5" width="14.85546875" style="764" customWidth="1"/>
    <col min="6" max="7" width="11.42578125" style="764"/>
    <col min="8" max="8" width="14.140625" style="764" bestFit="1" customWidth="1"/>
    <col min="9" max="16384" width="11.42578125" style="764"/>
  </cols>
  <sheetData>
    <row r="1" spans="1:7" ht="30" customHeight="1" thickBot="1" x14ac:dyDescent="0.3">
      <c r="A1" s="1724" t="s">
        <v>560</v>
      </c>
      <c r="B1" s="1725"/>
      <c r="C1" s="1725"/>
      <c r="D1" s="1725"/>
      <c r="E1" s="1726"/>
    </row>
    <row r="2" spans="1:7" ht="30" customHeight="1" thickBot="1" x14ac:dyDescent="0.3">
      <c r="A2" s="765" t="s">
        <v>561</v>
      </c>
      <c r="B2" s="766" t="s">
        <v>562</v>
      </c>
      <c r="C2" s="767" t="s">
        <v>70</v>
      </c>
      <c r="D2" s="768" t="s">
        <v>563</v>
      </c>
      <c r="E2" s="769" t="s">
        <v>564</v>
      </c>
    </row>
    <row r="3" spans="1:7" ht="15" customHeight="1" x14ac:dyDescent="0.25">
      <c r="A3" s="770">
        <v>1</v>
      </c>
      <c r="B3" s="771" t="s">
        <v>565</v>
      </c>
      <c r="C3" s="772">
        <v>0</v>
      </c>
      <c r="D3" s="773">
        <v>65250</v>
      </c>
      <c r="E3" s="774">
        <f>C3*D3</f>
        <v>0</v>
      </c>
    </row>
    <row r="4" spans="1:7" ht="15" customHeight="1" x14ac:dyDescent="0.25">
      <c r="A4" s="775">
        <f>+A3+1</f>
        <v>2</v>
      </c>
      <c r="B4" s="776" t="s">
        <v>566</v>
      </c>
      <c r="C4" s="772">
        <v>0</v>
      </c>
      <c r="D4" s="777">
        <v>74065.080135988333</v>
      </c>
      <c r="E4" s="774"/>
    </row>
    <row r="5" spans="1:7" ht="15" customHeight="1" x14ac:dyDescent="0.25">
      <c r="A5" s="775">
        <f t="shared" ref="A5:A40" si="0">+A4+1</f>
        <v>3</v>
      </c>
      <c r="B5" s="778" t="s">
        <v>567</v>
      </c>
      <c r="C5" s="772">
        <v>0</v>
      </c>
      <c r="D5" s="777">
        <v>19871.249588590235</v>
      </c>
      <c r="E5" s="779">
        <f t="shared" ref="E5:E39" si="1">C5*D5</f>
        <v>0</v>
      </c>
      <c r="G5" s="780"/>
    </row>
    <row r="6" spans="1:7" ht="15" customHeight="1" x14ac:dyDescent="0.25">
      <c r="A6" s="775">
        <f t="shared" si="0"/>
        <v>4</v>
      </c>
      <c r="B6" s="776" t="s">
        <v>568</v>
      </c>
      <c r="C6" s="781">
        <v>0</v>
      </c>
      <c r="D6" s="777">
        <v>17539.134129330989</v>
      </c>
      <c r="E6" s="779">
        <f t="shared" si="1"/>
        <v>0</v>
      </c>
      <c r="G6" s="780"/>
    </row>
    <row r="7" spans="1:7" ht="15" customHeight="1" x14ac:dyDescent="0.25">
      <c r="A7" s="775">
        <f t="shared" si="0"/>
        <v>5</v>
      </c>
      <c r="B7" s="776" t="s">
        <v>569</v>
      </c>
      <c r="C7" s="772">
        <v>0</v>
      </c>
      <c r="D7" s="777">
        <v>10356</v>
      </c>
      <c r="E7" s="779">
        <f t="shared" si="1"/>
        <v>0</v>
      </c>
      <c r="G7" s="780"/>
    </row>
    <row r="8" spans="1:7" ht="15" customHeight="1" x14ac:dyDescent="0.25">
      <c r="A8" s="775">
        <f t="shared" si="0"/>
        <v>6</v>
      </c>
      <c r="B8" s="776" t="s">
        <v>570</v>
      </c>
      <c r="C8" s="772">
        <v>0</v>
      </c>
      <c r="D8" s="777">
        <v>11733</v>
      </c>
      <c r="E8" s="779">
        <f t="shared" si="1"/>
        <v>0</v>
      </c>
    </row>
    <row r="9" spans="1:7" ht="15" customHeight="1" x14ac:dyDescent="0.25">
      <c r="A9" s="775">
        <f t="shared" si="0"/>
        <v>7</v>
      </c>
      <c r="B9" s="776" t="s">
        <v>571</v>
      </c>
      <c r="C9" s="772">
        <v>5</v>
      </c>
      <c r="D9" s="777">
        <v>162000</v>
      </c>
      <c r="E9" s="779">
        <f t="shared" si="1"/>
        <v>810000</v>
      </c>
    </row>
    <row r="10" spans="1:7" ht="15" customHeight="1" x14ac:dyDescent="0.25">
      <c r="A10" s="775">
        <f t="shared" si="0"/>
        <v>8</v>
      </c>
      <c r="B10" s="776" t="s">
        <v>572</v>
      </c>
      <c r="C10" s="772">
        <v>0</v>
      </c>
      <c r="D10" s="777">
        <v>164000</v>
      </c>
      <c r="E10" s="779">
        <f t="shared" si="1"/>
        <v>0</v>
      </c>
    </row>
    <row r="11" spans="1:7" ht="15" customHeight="1" x14ac:dyDescent="0.25">
      <c r="A11" s="775">
        <f t="shared" si="0"/>
        <v>9</v>
      </c>
      <c r="B11" s="776" t="s">
        <v>573</v>
      </c>
      <c r="C11" s="772">
        <v>0</v>
      </c>
      <c r="D11" s="777">
        <v>50000</v>
      </c>
      <c r="E11" s="779">
        <f t="shared" si="1"/>
        <v>0</v>
      </c>
    </row>
    <row r="12" spans="1:7" ht="15" customHeight="1" x14ac:dyDescent="0.25">
      <c r="A12" s="775">
        <f t="shared" si="0"/>
        <v>10</v>
      </c>
      <c r="B12" s="776" t="s">
        <v>574</v>
      </c>
      <c r="C12" s="772">
        <v>0</v>
      </c>
      <c r="D12" s="777">
        <v>24000</v>
      </c>
      <c r="E12" s="779">
        <f t="shared" si="1"/>
        <v>0</v>
      </c>
      <c r="G12" s="780"/>
    </row>
    <row r="13" spans="1:7" ht="15" customHeight="1" x14ac:dyDescent="0.25">
      <c r="A13" s="775">
        <f t="shared" si="0"/>
        <v>11</v>
      </c>
      <c r="B13" s="776" t="s">
        <v>575</v>
      </c>
      <c r="C13" s="772">
        <v>3</v>
      </c>
      <c r="D13" s="777">
        <v>20760</v>
      </c>
      <c r="E13" s="779">
        <f t="shared" si="1"/>
        <v>62280</v>
      </c>
      <c r="G13" s="780"/>
    </row>
    <row r="14" spans="1:7" ht="15" customHeight="1" x14ac:dyDescent="0.25">
      <c r="A14" s="775">
        <f t="shared" si="0"/>
        <v>12</v>
      </c>
      <c r="B14" s="776" t="s">
        <v>576</v>
      </c>
      <c r="C14" s="772">
        <f>+C9*2</f>
        <v>10</v>
      </c>
      <c r="D14" s="777">
        <v>16614</v>
      </c>
      <c r="E14" s="779">
        <f t="shared" si="1"/>
        <v>166140</v>
      </c>
      <c r="G14" s="780"/>
    </row>
    <row r="15" spans="1:7" ht="15" customHeight="1" x14ac:dyDescent="0.25">
      <c r="A15" s="775">
        <f t="shared" si="0"/>
        <v>13</v>
      </c>
      <c r="B15" s="776" t="s">
        <v>577</v>
      </c>
      <c r="C15" s="772">
        <v>9</v>
      </c>
      <c r="D15" s="777">
        <v>7000</v>
      </c>
      <c r="E15" s="779">
        <f t="shared" si="1"/>
        <v>63000</v>
      </c>
      <c r="G15" s="780"/>
    </row>
    <row r="16" spans="1:7" ht="15" customHeight="1" x14ac:dyDescent="0.25">
      <c r="A16" s="775">
        <f t="shared" si="0"/>
        <v>14</v>
      </c>
      <c r="B16" s="776" t="s">
        <v>578</v>
      </c>
      <c r="C16" s="772">
        <v>0</v>
      </c>
      <c r="D16" s="777">
        <v>4400</v>
      </c>
      <c r="E16" s="779">
        <f t="shared" si="1"/>
        <v>0</v>
      </c>
      <c r="G16" s="780"/>
    </row>
    <row r="17" spans="1:7" ht="15" customHeight="1" x14ac:dyDescent="0.25">
      <c r="A17" s="775">
        <f t="shared" si="0"/>
        <v>15</v>
      </c>
      <c r="B17" s="782" t="s">
        <v>579</v>
      </c>
      <c r="C17" s="772">
        <f>+C9*6</f>
        <v>30</v>
      </c>
      <c r="D17" s="777">
        <v>19000</v>
      </c>
      <c r="E17" s="779">
        <f t="shared" si="1"/>
        <v>570000</v>
      </c>
      <c r="G17" s="780"/>
    </row>
    <row r="18" spans="1:7" ht="15" customHeight="1" x14ac:dyDescent="0.25">
      <c r="A18" s="775">
        <f t="shared" si="0"/>
        <v>16</v>
      </c>
      <c r="B18" s="782" t="s">
        <v>580</v>
      </c>
      <c r="C18" s="772">
        <v>0</v>
      </c>
      <c r="D18" s="777">
        <v>13609.78260869565</v>
      </c>
      <c r="E18" s="779">
        <f t="shared" si="1"/>
        <v>0</v>
      </c>
      <c r="G18" s="780"/>
    </row>
    <row r="19" spans="1:7" ht="15" customHeight="1" x14ac:dyDescent="0.25">
      <c r="A19" s="775">
        <f t="shared" si="0"/>
        <v>17</v>
      </c>
      <c r="B19" s="782" t="s">
        <v>581</v>
      </c>
      <c r="C19" s="772">
        <v>21</v>
      </c>
      <c r="D19" s="777">
        <v>17000</v>
      </c>
      <c r="E19" s="779">
        <f t="shared" si="1"/>
        <v>357000</v>
      </c>
      <c r="G19" s="780"/>
    </row>
    <row r="20" spans="1:7" ht="15" customHeight="1" x14ac:dyDescent="0.25">
      <c r="A20" s="775">
        <f t="shared" si="0"/>
        <v>18</v>
      </c>
      <c r="B20" s="782" t="s">
        <v>582</v>
      </c>
      <c r="C20" s="772">
        <v>0</v>
      </c>
      <c r="D20" s="777">
        <v>11600</v>
      </c>
      <c r="E20" s="779">
        <f t="shared" si="1"/>
        <v>0</v>
      </c>
      <c r="G20" s="780"/>
    </row>
    <row r="21" spans="1:7" ht="15" customHeight="1" x14ac:dyDescent="0.25">
      <c r="A21" s="775">
        <f t="shared" si="0"/>
        <v>19</v>
      </c>
      <c r="B21" s="776" t="s">
        <v>583</v>
      </c>
      <c r="C21" s="772">
        <v>0</v>
      </c>
      <c r="D21" s="777">
        <v>35869.565217391311</v>
      </c>
      <c r="E21" s="779">
        <f t="shared" si="1"/>
        <v>0</v>
      </c>
      <c r="G21" s="780"/>
    </row>
    <row r="22" spans="1:7" ht="15" customHeight="1" x14ac:dyDescent="0.25">
      <c r="A22" s="775">
        <f t="shared" si="0"/>
        <v>20</v>
      </c>
      <c r="B22" s="776" t="s">
        <v>584</v>
      </c>
      <c r="C22" s="772">
        <v>0</v>
      </c>
      <c r="D22" s="777">
        <v>3500000</v>
      </c>
      <c r="E22" s="779">
        <f t="shared" si="1"/>
        <v>0</v>
      </c>
    </row>
    <row r="23" spans="1:7" ht="15" customHeight="1" x14ac:dyDescent="0.25">
      <c r="A23" s="775">
        <f t="shared" si="0"/>
        <v>21</v>
      </c>
      <c r="B23" s="776" t="s">
        <v>585</v>
      </c>
      <c r="C23" s="772">
        <v>0</v>
      </c>
      <c r="D23" s="777">
        <v>3200000</v>
      </c>
      <c r="E23" s="779">
        <f t="shared" si="1"/>
        <v>0</v>
      </c>
    </row>
    <row r="24" spans="1:7" ht="15" customHeight="1" x14ac:dyDescent="0.25">
      <c r="A24" s="775">
        <f t="shared" si="0"/>
        <v>22</v>
      </c>
      <c r="B24" s="776" t="s">
        <v>586</v>
      </c>
      <c r="C24" s="772">
        <v>0</v>
      </c>
      <c r="D24" s="777">
        <v>2000000</v>
      </c>
      <c r="E24" s="779">
        <f t="shared" si="1"/>
        <v>0</v>
      </c>
    </row>
    <row r="25" spans="1:7" ht="15" customHeight="1" x14ac:dyDescent="0.25">
      <c r="A25" s="775">
        <f t="shared" si="0"/>
        <v>23</v>
      </c>
      <c r="B25" s="776" t="s">
        <v>587</v>
      </c>
      <c r="C25" s="772">
        <v>1</v>
      </c>
      <c r="D25" s="777">
        <v>2700000</v>
      </c>
      <c r="E25" s="779">
        <f t="shared" si="1"/>
        <v>2700000</v>
      </c>
      <c r="F25" s="889">
        <f>+E25</f>
        <v>2700000</v>
      </c>
    </row>
    <row r="26" spans="1:7" ht="15" customHeight="1" x14ac:dyDescent="0.25">
      <c r="A26" s="775">
        <f t="shared" si="0"/>
        <v>24</v>
      </c>
      <c r="B26" s="776" t="s">
        <v>588</v>
      </c>
      <c r="C26" s="772">
        <v>2</v>
      </c>
      <c r="D26" s="777">
        <v>2150000</v>
      </c>
      <c r="E26" s="779">
        <f t="shared" si="1"/>
        <v>4300000</v>
      </c>
      <c r="F26" s="889">
        <f>+E26</f>
        <v>4300000</v>
      </c>
    </row>
    <row r="27" spans="1:7" ht="15" customHeight="1" x14ac:dyDescent="0.25">
      <c r="A27" s="775">
        <f t="shared" si="0"/>
        <v>25</v>
      </c>
      <c r="B27" s="776" t="s">
        <v>589</v>
      </c>
      <c r="C27" s="772">
        <v>0</v>
      </c>
      <c r="D27" s="777">
        <v>810000</v>
      </c>
      <c r="E27" s="779">
        <f t="shared" si="1"/>
        <v>0</v>
      </c>
    </row>
    <row r="28" spans="1:7" ht="15" customHeight="1" x14ac:dyDescent="0.25">
      <c r="A28" s="775">
        <f t="shared" si="0"/>
        <v>26</v>
      </c>
      <c r="B28" s="776" t="s">
        <v>590</v>
      </c>
      <c r="C28" s="772">
        <v>0</v>
      </c>
      <c r="D28" s="777">
        <v>160000</v>
      </c>
      <c r="E28" s="779">
        <f t="shared" si="1"/>
        <v>0</v>
      </c>
    </row>
    <row r="29" spans="1:7" ht="15" customHeight="1" x14ac:dyDescent="0.25">
      <c r="A29" s="775">
        <f t="shared" si="0"/>
        <v>27</v>
      </c>
      <c r="B29" s="776" t="s">
        <v>591</v>
      </c>
      <c r="C29" s="772">
        <v>0</v>
      </c>
      <c r="D29" s="777">
        <v>218000</v>
      </c>
      <c r="E29" s="779">
        <f t="shared" si="1"/>
        <v>0</v>
      </c>
    </row>
    <row r="30" spans="1:7" ht="15" customHeight="1" x14ac:dyDescent="0.25">
      <c r="A30" s="775">
        <f t="shared" si="0"/>
        <v>28</v>
      </c>
      <c r="B30" s="776" t="s">
        <v>592</v>
      </c>
      <c r="C30" s="772">
        <v>0</v>
      </c>
      <c r="D30" s="777">
        <v>850000</v>
      </c>
      <c r="E30" s="779">
        <f t="shared" si="1"/>
        <v>0</v>
      </c>
    </row>
    <row r="31" spans="1:7" ht="15" customHeight="1" x14ac:dyDescent="0.25">
      <c r="A31" s="775">
        <f t="shared" si="0"/>
        <v>29</v>
      </c>
      <c r="B31" s="776" t="s">
        <v>593</v>
      </c>
      <c r="C31" s="772">
        <v>0</v>
      </c>
      <c r="D31" s="777">
        <v>480000</v>
      </c>
      <c r="E31" s="779"/>
    </row>
    <row r="32" spans="1:7" ht="15" customHeight="1" x14ac:dyDescent="0.25">
      <c r="A32" s="775">
        <f t="shared" si="0"/>
        <v>30</v>
      </c>
      <c r="B32" s="776" t="s">
        <v>594</v>
      </c>
      <c r="C32" s="772"/>
      <c r="D32" s="777">
        <v>300000</v>
      </c>
      <c r="E32" s="779">
        <f t="shared" si="1"/>
        <v>0</v>
      </c>
    </row>
    <row r="33" spans="1:7" ht="15" customHeight="1" x14ac:dyDescent="0.25">
      <c r="A33" s="775">
        <f t="shared" si="0"/>
        <v>31</v>
      </c>
      <c r="B33" s="776" t="s">
        <v>595</v>
      </c>
      <c r="C33" s="772">
        <v>0</v>
      </c>
      <c r="D33" s="777">
        <v>200000</v>
      </c>
      <c r="E33" s="779">
        <f t="shared" si="1"/>
        <v>0</v>
      </c>
    </row>
    <row r="34" spans="1:7" ht="15" customHeight="1" x14ac:dyDescent="0.25">
      <c r="A34" s="775">
        <f t="shared" si="0"/>
        <v>32</v>
      </c>
      <c r="B34" s="776" t="s">
        <v>596</v>
      </c>
      <c r="C34" s="772">
        <v>0</v>
      </c>
      <c r="D34" s="777">
        <v>59800</v>
      </c>
      <c r="E34" s="779">
        <f t="shared" si="1"/>
        <v>0</v>
      </c>
    </row>
    <row r="35" spans="1:7" ht="15" customHeight="1" x14ac:dyDescent="0.25">
      <c r="A35" s="775">
        <f t="shared" si="0"/>
        <v>33</v>
      </c>
      <c r="B35" s="776" t="s">
        <v>597</v>
      </c>
      <c r="C35" s="772">
        <v>0</v>
      </c>
      <c r="D35" s="777">
        <v>7400</v>
      </c>
      <c r="E35" s="779">
        <f t="shared" si="1"/>
        <v>0</v>
      </c>
      <c r="G35" s="780"/>
    </row>
    <row r="36" spans="1:7" ht="15" customHeight="1" x14ac:dyDescent="0.25">
      <c r="A36" s="775">
        <f t="shared" si="0"/>
        <v>34</v>
      </c>
      <c r="B36" s="776" t="s">
        <v>598</v>
      </c>
      <c r="C36" s="772">
        <v>0</v>
      </c>
      <c r="D36" s="777">
        <v>14201.865057597364</v>
      </c>
      <c r="E36" s="779">
        <f t="shared" si="1"/>
        <v>0</v>
      </c>
      <c r="G36" s="780"/>
    </row>
    <row r="37" spans="1:7" ht="15" customHeight="1" x14ac:dyDescent="0.25">
      <c r="A37" s="775">
        <f t="shared" si="0"/>
        <v>35</v>
      </c>
      <c r="B37" s="776" t="s">
        <v>599</v>
      </c>
      <c r="C37" s="772">
        <v>0</v>
      </c>
      <c r="D37" s="777">
        <v>9000</v>
      </c>
      <c r="E37" s="779">
        <f t="shared" si="1"/>
        <v>0</v>
      </c>
      <c r="G37" s="780"/>
    </row>
    <row r="38" spans="1:7" ht="15" customHeight="1" x14ac:dyDescent="0.25">
      <c r="A38" s="775">
        <f t="shared" si="0"/>
        <v>36</v>
      </c>
      <c r="B38" s="776" t="s">
        <v>600</v>
      </c>
      <c r="C38" s="772">
        <v>0</v>
      </c>
      <c r="D38" s="777">
        <v>1468.0412371134018</v>
      </c>
      <c r="E38" s="779">
        <f t="shared" si="1"/>
        <v>0</v>
      </c>
      <c r="G38" s="780"/>
    </row>
    <row r="39" spans="1:7" ht="15" customHeight="1" x14ac:dyDescent="0.25">
      <c r="A39" s="775">
        <f t="shared" si="0"/>
        <v>37</v>
      </c>
      <c r="B39" s="776" t="s">
        <v>601</v>
      </c>
      <c r="C39" s="772">
        <v>0</v>
      </c>
      <c r="D39" s="777">
        <v>6775.3623188405809</v>
      </c>
      <c r="E39" s="779">
        <f t="shared" si="1"/>
        <v>0</v>
      </c>
      <c r="G39" s="780"/>
    </row>
    <row r="40" spans="1:7" ht="15" customHeight="1" x14ac:dyDescent="0.25">
      <c r="A40" s="783">
        <f t="shared" si="0"/>
        <v>38</v>
      </c>
      <c r="B40" s="784" t="s">
        <v>602</v>
      </c>
      <c r="C40" s="785">
        <v>0</v>
      </c>
      <c r="D40" s="786">
        <v>6918.4782608695632</v>
      </c>
      <c r="E40" s="787">
        <f>C40*D40</f>
        <v>0</v>
      </c>
      <c r="G40" s="780"/>
    </row>
    <row r="41" spans="1:7" ht="15" customHeight="1" x14ac:dyDescent="0.25">
      <c r="A41" s="788"/>
      <c r="B41" s="789"/>
      <c r="C41" s="790"/>
      <c r="D41" s="791"/>
      <c r="E41" s="774"/>
    </row>
    <row r="42" spans="1:7" ht="15" customHeight="1" x14ac:dyDescent="0.25">
      <c r="A42" s="792"/>
      <c r="B42" s="793" t="s">
        <v>603</v>
      </c>
      <c r="C42" s="794"/>
      <c r="D42" s="795"/>
      <c r="E42" s="796">
        <f>SUM(E3:E40)</f>
        <v>9028420</v>
      </c>
    </row>
    <row r="43" spans="1:7" ht="15" customHeight="1" thickBot="1" x14ac:dyDescent="0.3">
      <c r="A43" s="797"/>
      <c r="B43" s="798" t="s">
        <v>604</v>
      </c>
      <c r="C43" s="799"/>
      <c r="D43" s="800"/>
      <c r="E43" s="801">
        <f>+E42-SUM(E22:E33)</f>
        <v>2028420</v>
      </c>
    </row>
    <row r="44" spans="1:7" ht="30" customHeight="1" x14ac:dyDescent="0.25">
      <c r="A44" s="802"/>
      <c r="B44" s="803"/>
      <c r="C44" s="804"/>
      <c r="D44" s="805" t="s">
        <v>605</v>
      </c>
      <c r="E44" s="806"/>
    </row>
    <row r="45" spans="1:7" ht="15" customHeight="1" x14ac:dyDescent="0.25">
      <c r="A45" s="807">
        <f>+A40+1</f>
        <v>39</v>
      </c>
      <c r="B45" s="808" t="s">
        <v>606</v>
      </c>
      <c r="C45" s="809" t="s">
        <v>607</v>
      </c>
      <c r="D45" s="810">
        <v>5</v>
      </c>
      <c r="E45" s="811">
        <f>$E$43*D45/100</f>
        <v>101421</v>
      </c>
    </row>
    <row r="46" spans="1:7" ht="15" customHeight="1" x14ac:dyDescent="0.25">
      <c r="A46" s="775">
        <f>+A45+1</f>
        <v>40</v>
      </c>
      <c r="B46" s="808" t="s">
        <v>608</v>
      </c>
      <c r="C46" s="809" t="s">
        <v>607</v>
      </c>
      <c r="D46" s="810">
        <v>12</v>
      </c>
      <c r="E46" s="811">
        <f>$E$43*D46/100</f>
        <v>243410.4</v>
      </c>
    </row>
    <row r="47" spans="1:7" ht="15" customHeight="1" x14ac:dyDescent="0.25">
      <c r="A47" s="775">
        <f>+A46+1</f>
        <v>41</v>
      </c>
      <c r="B47" s="808" t="s">
        <v>609</v>
      </c>
      <c r="C47" s="809" t="s">
        <v>607</v>
      </c>
      <c r="D47" s="810">
        <v>50</v>
      </c>
      <c r="E47" s="811">
        <f>E43*D47/100</f>
        <v>1014210</v>
      </c>
    </row>
    <row r="48" spans="1:7" ht="15" customHeight="1" x14ac:dyDescent="0.25">
      <c r="A48" s="775">
        <f>+A47+1</f>
        <v>42</v>
      </c>
      <c r="B48" s="808" t="s">
        <v>610</v>
      </c>
      <c r="C48" s="809" t="s">
        <v>607</v>
      </c>
      <c r="D48" s="810">
        <v>70</v>
      </c>
      <c r="E48" s="811">
        <f>E43*D48/100</f>
        <v>1419894</v>
      </c>
    </row>
    <row r="49" spans="1:10" x14ac:dyDescent="0.25">
      <c r="A49" s="775">
        <f>+A48+1</f>
        <v>43</v>
      </c>
      <c r="B49" s="808" t="s">
        <v>611</v>
      </c>
      <c r="C49" s="809" t="s">
        <v>607</v>
      </c>
      <c r="D49" s="810">
        <v>15</v>
      </c>
      <c r="E49" s="811">
        <f>E43*D49/100</f>
        <v>304263</v>
      </c>
    </row>
    <row r="50" spans="1:10" x14ac:dyDescent="0.25">
      <c r="A50" s="775">
        <f>+A49+1</f>
        <v>44</v>
      </c>
      <c r="B50" s="808" t="s">
        <v>612</v>
      </c>
      <c r="C50" s="809" t="s">
        <v>607</v>
      </c>
      <c r="D50" s="810">
        <v>25</v>
      </c>
      <c r="E50" s="811">
        <f>E43*D50/100</f>
        <v>507105</v>
      </c>
    </row>
    <row r="51" spans="1:10" x14ac:dyDescent="0.25">
      <c r="A51" s="807"/>
      <c r="B51" s="808"/>
      <c r="C51" s="809"/>
      <c r="D51" s="776"/>
      <c r="E51" s="779"/>
    </row>
    <row r="52" spans="1:10" ht="15.75" thickBot="1" x14ac:dyDescent="0.3">
      <c r="A52" s="797"/>
      <c r="B52" s="812" t="s">
        <v>613</v>
      </c>
      <c r="C52" s="813"/>
      <c r="D52" s="814"/>
      <c r="E52" s="801">
        <f>+E42+SUM(E45:E50)</f>
        <v>12618723.4</v>
      </c>
    </row>
    <row r="53" spans="1:10" x14ac:dyDescent="0.25">
      <c r="A53" s="802"/>
      <c r="B53" s="803"/>
      <c r="C53" s="815"/>
      <c r="D53" s="816" t="s">
        <v>614</v>
      </c>
      <c r="E53" s="806"/>
    </row>
    <row r="54" spans="1:10" x14ac:dyDescent="0.25">
      <c r="A54" s="807">
        <f>+A50+1</f>
        <v>45</v>
      </c>
      <c r="B54" s="808" t="s">
        <v>615</v>
      </c>
      <c r="C54" s="809" t="s">
        <v>607</v>
      </c>
      <c r="D54" s="810">
        <v>15</v>
      </c>
      <c r="E54" s="779">
        <f>E52*D54/100</f>
        <v>1892808.51</v>
      </c>
    </row>
    <row r="55" spans="1:10" x14ac:dyDescent="0.25">
      <c r="A55" s="775">
        <f>+A54+1</f>
        <v>46</v>
      </c>
      <c r="B55" s="808" t="s">
        <v>616</v>
      </c>
      <c r="C55" s="809" t="s">
        <v>607</v>
      </c>
      <c r="D55" s="817">
        <v>25</v>
      </c>
      <c r="E55" s="779">
        <f>E52*D55/100</f>
        <v>3154680.85</v>
      </c>
    </row>
    <row r="56" spans="1:10" x14ac:dyDescent="0.25">
      <c r="A56" s="807"/>
      <c r="B56" s="808"/>
      <c r="C56" s="818"/>
      <c r="D56" s="776"/>
      <c r="E56" s="779"/>
      <c r="G56" s="764" t="s">
        <v>617</v>
      </c>
    </row>
    <row r="57" spans="1:10" ht="15.75" thickBot="1" x14ac:dyDescent="0.3">
      <c r="A57" s="797"/>
      <c r="B57" s="812" t="s">
        <v>618</v>
      </c>
      <c r="C57" s="813"/>
      <c r="D57" s="814"/>
      <c r="E57" s="801">
        <f>SUM(E52,E54,E55)</f>
        <v>17666212.760000002</v>
      </c>
      <c r="G57" s="764" t="s">
        <v>619</v>
      </c>
      <c r="H57" s="819">
        <v>7000000</v>
      </c>
      <c r="I57" s="819"/>
      <c r="J57" s="764">
        <v>0.10960419267088972</v>
      </c>
    </row>
    <row r="58" spans="1:10" x14ac:dyDescent="0.25">
      <c r="A58" s="802"/>
      <c r="B58" s="803"/>
      <c r="C58" s="820"/>
      <c r="D58" s="816" t="s">
        <v>620</v>
      </c>
      <c r="E58" s="821"/>
      <c r="G58" s="764" t="s">
        <v>621</v>
      </c>
      <c r="H58" s="819">
        <v>15553196.009444006</v>
      </c>
      <c r="I58" s="819"/>
    </row>
    <row r="59" spans="1:10" x14ac:dyDescent="0.25">
      <c r="A59" s="807">
        <f>A55+1</f>
        <v>47</v>
      </c>
      <c r="B59" s="808" t="s">
        <v>622</v>
      </c>
      <c r="C59" s="818"/>
      <c r="D59" s="822">
        <v>5</v>
      </c>
      <c r="E59" s="779">
        <f t="shared" ref="E59:E65" si="2">$E$57*D59/100</f>
        <v>883310.63800000015</v>
      </c>
      <c r="H59" s="819">
        <v>22553196.009444006</v>
      </c>
      <c r="I59" s="819"/>
    </row>
    <row r="60" spans="1:10" x14ac:dyDescent="0.25">
      <c r="A60" s="775">
        <f t="shared" ref="A60:A66" si="3">+A59+1</f>
        <v>48</v>
      </c>
      <c r="B60" s="823" t="s">
        <v>623</v>
      </c>
      <c r="C60" s="818"/>
      <c r="D60" s="822">
        <v>3</v>
      </c>
      <c r="E60" s="779">
        <f t="shared" si="2"/>
        <v>529986.38280000002</v>
      </c>
      <c r="G60" s="764" t="s">
        <v>624</v>
      </c>
      <c r="H60" s="819"/>
      <c r="I60" s="819"/>
    </row>
    <row r="61" spans="1:10" x14ac:dyDescent="0.25">
      <c r="A61" s="775">
        <f t="shared" si="3"/>
        <v>49</v>
      </c>
      <c r="B61" s="808" t="s">
        <v>625</v>
      </c>
      <c r="C61" s="818"/>
      <c r="D61" s="822">
        <v>4</v>
      </c>
      <c r="E61" s="779">
        <f t="shared" si="2"/>
        <v>706648.51040000003</v>
      </c>
      <c r="G61" s="764" t="s">
        <v>619</v>
      </c>
      <c r="H61" s="819">
        <v>6232770.6513037719</v>
      </c>
      <c r="I61" s="819"/>
    </row>
    <row r="62" spans="1:10" x14ac:dyDescent="0.25">
      <c r="A62" s="775">
        <f t="shared" si="3"/>
        <v>50</v>
      </c>
      <c r="B62" s="823" t="s">
        <v>339</v>
      </c>
      <c r="C62" s="818"/>
      <c r="D62" s="822">
        <v>4</v>
      </c>
      <c r="E62" s="779">
        <f t="shared" si="2"/>
        <v>706648.51040000003</v>
      </c>
      <c r="G62" s="764" t="s">
        <v>621</v>
      </c>
      <c r="H62" s="819">
        <v>13848500.517376792</v>
      </c>
      <c r="I62" s="819"/>
    </row>
    <row r="63" spans="1:10" x14ac:dyDescent="0.25">
      <c r="A63" s="775">
        <f t="shared" si="3"/>
        <v>51</v>
      </c>
      <c r="B63" s="808" t="s">
        <v>626</v>
      </c>
      <c r="C63" s="818"/>
      <c r="D63" s="822">
        <v>5</v>
      </c>
      <c r="E63" s="779">
        <f t="shared" si="2"/>
        <v>883310.63800000015</v>
      </c>
      <c r="G63" s="764" t="s">
        <v>627</v>
      </c>
      <c r="H63" s="819">
        <v>20081271.168680564</v>
      </c>
      <c r="I63" s="819"/>
    </row>
    <row r="64" spans="1:10" x14ac:dyDescent="0.25">
      <c r="A64" s="775">
        <f t="shared" si="3"/>
        <v>52</v>
      </c>
      <c r="B64" s="823" t="s">
        <v>628</v>
      </c>
      <c r="C64" s="818"/>
      <c r="D64" s="822">
        <v>6</v>
      </c>
      <c r="E64" s="779">
        <f t="shared" si="2"/>
        <v>1059972.7656</v>
      </c>
    </row>
    <row r="65" spans="1:11" x14ac:dyDescent="0.25">
      <c r="A65" s="775">
        <f t="shared" si="3"/>
        <v>53</v>
      </c>
      <c r="B65" s="808" t="s">
        <v>629</v>
      </c>
      <c r="C65" s="818"/>
      <c r="D65" s="822">
        <v>0.19</v>
      </c>
      <c r="E65" s="779">
        <f t="shared" si="2"/>
        <v>33565.804244000006</v>
      </c>
    </row>
    <row r="66" spans="1:11" ht="15.75" thickBot="1" x14ac:dyDescent="0.3">
      <c r="A66" s="824">
        <f t="shared" si="3"/>
        <v>54</v>
      </c>
      <c r="B66" s="825" t="s">
        <v>630</v>
      </c>
      <c r="C66" s="826" t="s">
        <v>631</v>
      </c>
      <c r="D66" s="827">
        <v>0</v>
      </c>
      <c r="E66" s="828">
        <v>83540</v>
      </c>
    </row>
    <row r="67" spans="1:11" ht="15.75" thickBot="1" x14ac:dyDescent="0.3">
      <c r="A67" s="797"/>
      <c r="B67" s="829" t="s">
        <v>632</v>
      </c>
      <c r="C67" s="813"/>
      <c r="D67" s="814"/>
      <c r="E67" s="830">
        <f>SUM(E57,E59:E66)</f>
        <v>22553196.009444006</v>
      </c>
    </row>
    <row r="68" spans="1:11" x14ac:dyDescent="0.25">
      <c r="A68" s="831"/>
      <c r="B68" s="832"/>
      <c r="C68" s="832"/>
      <c r="D68" s="833"/>
      <c r="E68" s="832"/>
      <c r="G68" s="834">
        <f>+E25+E26</f>
        <v>7000000</v>
      </c>
      <c r="I68" s="764">
        <v>-0.10960419267088972</v>
      </c>
      <c r="J68" s="764">
        <f>+I68*-1</f>
        <v>0.10960419267088972</v>
      </c>
    </row>
    <row r="69" spans="1:11" x14ac:dyDescent="0.25">
      <c r="G69" s="834">
        <f>+E67-G68</f>
        <v>15553196.009444006</v>
      </c>
    </row>
    <row r="72" spans="1:11" x14ac:dyDescent="0.25">
      <c r="G72" s="764" t="s">
        <v>617</v>
      </c>
    </row>
    <row r="73" spans="1:11" x14ac:dyDescent="0.25">
      <c r="G73" s="764" t="s">
        <v>619</v>
      </c>
      <c r="H73" s="834">
        <f>+E25</f>
        <v>2700000</v>
      </c>
      <c r="I73" s="764" t="s">
        <v>633</v>
      </c>
      <c r="J73" s="837">
        <v>0.10960419267088972</v>
      </c>
      <c r="K73" s="764" t="s">
        <v>634</v>
      </c>
    </row>
    <row r="74" spans="1:11" x14ac:dyDescent="0.25">
      <c r="D74" s="888">
        <f>+'SALIDAS Y TRANSFORMACION'!E19</f>
        <v>11713684.114110725</v>
      </c>
      <c r="H74" s="834">
        <f>+E26</f>
        <v>4300000</v>
      </c>
      <c r="I74" s="764" t="s">
        <v>635</v>
      </c>
    </row>
    <row r="75" spans="1:11" x14ac:dyDescent="0.25">
      <c r="D75" s="888"/>
      <c r="G75" s="764" t="s">
        <v>621</v>
      </c>
      <c r="H75" s="834">
        <f>+E67-H73-H74</f>
        <v>15553196.009444006</v>
      </c>
    </row>
    <row r="76" spans="1:11" x14ac:dyDescent="0.25">
      <c r="H76" s="834">
        <f>SUM(H73:H75)</f>
        <v>22553196.009444006</v>
      </c>
    </row>
    <row r="77" spans="1:11" x14ac:dyDescent="0.25">
      <c r="G77" s="764" t="s">
        <v>624</v>
      </c>
    </row>
    <row r="78" spans="1:11" x14ac:dyDescent="0.25">
      <c r="G78" s="764" t="s">
        <v>619</v>
      </c>
      <c r="H78" s="838">
        <f>+H73-(H73*J73)</f>
        <v>2404068.6797885979</v>
      </c>
      <c r="I78" s="764" t="s">
        <v>633</v>
      </c>
    </row>
    <row r="79" spans="1:11" x14ac:dyDescent="0.25">
      <c r="H79" s="838">
        <f>+H74-(H74*J73)</f>
        <v>3828701.971515174</v>
      </c>
      <c r="I79" s="764" t="s">
        <v>635</v>
      </c>
    </row>
    <row r="80" spans="1:11" x14ac:dyDescent="0.25">
      <c r="G80" s="764" t="s">
        <v>621</v>
      </c>
      <c r="H80" s="838">
        <f>+H75-(H75*J73)</f>
        <v>13848500.517376792</v>
      </c>
    </row>
    <row r="81" spans="7:8" x14ac:dyDescent="0.25">
      <c r="G81" s="764" t="s">
        <v>627</v>
      </c>
      <c r="H81" s="838">
        <f>SUM(H78:H80)</f>
        <v>20081271.168680564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9"/>
  <sheetViews>
    <sheetView topLeftCell="A25" workbookViewId="0">
      <selection activeCell="E27" sqref="E27"/>
    </sheetView>
  </sheetViews>
  <sheetFormatPr baseColWidth="10" defaultColWidth="11.42578125" defaultRowHeight="15" x14ac:dyDescent="0.25"/>
  <cols>
    <col min="1" max="1" width="7.28515625" style="835" customWidth="1"/>
    <col min="2" max="2" width="67.140625" style="764" customWidth="1"/>
    <col min="3" max="3" width="11.42578125" style="764"/>
    <col min="4" max="4" width="35" style="836" customWidth="1"/>
    <col min="5" max="5" width="14.85546875" style="764" customWidth="1"/>
    <col min="6" max="6" width="11.42578125" style="764"/>
    <col min="7" max="7" width="12.28515625" style="764" bestFit="1" customWidth="1"/>
    <col min="8" max="16384" width="11.42578125" style="764"/>
  </cols>
  <sheetData>
    <row r="1" spans="1:7" ht="30" customHeight="1" thickBot="1" x14ac:dyDescent="0.3">
      <c r="A1" s="1724" t="s">
        <v>642</v>
      </c>
      <c r="B1" s="1725"/>
      <c r="C1" s="1725"/>
      <c r="D1" s="1725"/>
      <c r="E1" s="1726"/>
    </row>
    <row r="2" spans="1:7" ht="30" customHeight="1" thickBot="1" x14ac:dyDescent="0.3">
      <c r="A2" s="765" t="s">
        <v>561</v>
      </c>
      <c r="B2" s="766" t="s">
        <v>562</v>
      </c>
      <c r="C2" s="767" t="s">
        <v>70</v>
      </c>
      <c r="D2" s="768" t="s">
        <v>563</v>
      </c>
      <c r="E2" s="769" t="s">
        <v>564</v>
      </c>
    </row>
    <row r="3" spans="1:7" ht="15" customHeight="1" x14ac:dyDescent="0.25">
      <c r="A3" s="770">
        <v>1</v>
      </c>
      <c r="B3" s="771" t="s">
        <v>565</v>
      </c>
      <c r="C3" s="772">
        <v>1</v>
      </c>
      <c r="D3" s="773">
        <v>65250</v>
      </c>
      <c r="E3" s="774">
        <f>C3*D3</f>
        <v>65250</v>
      </c>
    </row>
    <row r="4" spans="1:7" ht="15" customHeight="1" x14ac:dyDescent="0.25">
      <c r="A4" s="775">
        <f>+A3+1</f>
        <v>2</v>
      </c>
      <c r="B4" s="776" t="s">
        <v>566</v>
      </c>
      <c r="C4" s="772">
        <v>0</v>
      </c>
      <c r="D4" s="777">
        <v>74065.080135988333</v>
      </c>
      <c r="E4" s="774"/>
    </row>
    <row r="5" spans="1:7" ht="15" customHeight="1" x14ac:dyDescent="0.25">
      <c r="A5" s="775">
        <f t="shared" ref="A5:A40" si="0">+A4+1</f>
        <v>3</v>
      </c>
      <c r="B5" s="778" t="s">
        <v>567</v>
      </c>
      <c r="C5" s="772">
        <v>0</v>
      </c>
      <c r="D5" s="777">
        <v>19871.249588590235</v>
      </c>
      <c r="E5" s="779">
        <f t="shared" ref="E5:E39" si="1">C5*D5</f>
        <v>0</v>
      </c>
      <c r="G5" s="780"/>
    </row>
    <row r="6" spans="1:7" ht="15" customHeight="1" x14ac:dyDescent="0.25">
      <c r="A6" s="775">
        <f t="shared" si="0"/>
        <v>4</v>
      </c>
      <c r="B6" s="776" t="s">
        <v>568</v>
      </c>
      <c r="C6" s="781">
        <v>0</v>
      </c>
      <c r="D6" s="777">
        <v>17539.134129330989</v>
      </c>
      <c r="E6" s="779">
        <f t="shared" si="1"/>
        <v>0</v>
      </c>
      <c r="G6" s="780"/>
    </row>
    <row r="7" spans="1:7" ht="15" customHeight="1" x14ac:dyDescent="0.25">
      <c r="A7" s="775">
        <f t="shared" si="0"/>
        <v>5</v>
      </c>
      <c r="B7" s="776" t="s">
        <v>569</v>
      </c>
      <c r="C7" s="772">
        <v>0</v>
      </c>
      <c r="D7" s="777">
        <v>10356</v>
      </c>
      <c r="E7" s="779">
        <f t="shared" si="1"/>
        <v>0</v>
      </c>
      <c r="G7" s="780"/>
    </row>
    <row r="8" spans="1:7" ht="15" customHeight="1" x14ac:dyDescent="0.25">
      <c r="A8" s="775">
        <f t="shared" si="0"/>
        <v>6</v>
      </c>
      <c r="B8" s="776" t="s">
        <v>570</v>
      </c>
      <c r="C8" s="772">
        <v>0</v>
      </c>
      <c r="D8" s="777">
        <v>11733</v>
      </c>
      <c r="E8" s="779">
        <f t="shared" si="1"/>
        <v>0</v>
      </c>
    </row>
    <row r="9" spans="1:7" ht="15" customHeight="1" x14ac:dyDescent="0.25">
      <c r="A9" s="775">
        <f t="shared" si="0"/>
        <v>7</v>
      </c>
      <c r="B9" s="776" t="s">
        <v>571</v>
      </c>
      <c r="C9" s="772">
        <v>0</v>
      </c>
      <c r="D9" s="777">
        <v>162000</v>
      </c>
      <c r="E9" s="779">
        <f t="shared" si="1"/>
        <v>0</v>
      </c>
    </row>
    <row r="10" spans="1:7" ht="15" customHeight="1" x14ac:dyDescent="0.25">
      <c r="A10" s="775">
        <f t="shared" si="0"/>
        <v>8</v>
      </c>
      <c r="B10" s="776" t="s">
        <v>572</v>
      </c>
      <c r="C10" s="772">
        <v>0</v>
      </c>
      <c r="D10" s="777">
        <v>164000</v>
      </c>
      <c r="E10" s="779">
        <f t="shared" si="1"/>
        <v>0</v>
      </c>
    </row>
    <row r="11" spans="1:7" ht="15" customHeight="1" x14ac:dyDescent="0.25">
      <c r="A11" s="775">
        <f t="shared" si="0"/>
        <v>9</v>
      </c>
      <c r="B11" s="776" t="s">
        <v>573</v>
      </c>
      <c r="C11" s="772">
        <v>0</v>
      </c>
      <c r="D11" s="777">
        <v>50000</v>
      </c>
      <c r="E11" s="779">
        <f t="shared" si="1"/>
        <v>0</v>
      </c>
    </row>
    <row r="12" spans="1:7" ht="15" customHeight="1" x14ac:dyDescent="0.25">
      <c r="A12" s="775">
        <f t="shared" si="0"/>
        <v>10</v>
      </c>
      <c r="B12" s="776" t="s">
        <v>574</v>
      </c>
      <c r="C12" s="772">
        <v>0</v>
      </c>
      <c r="D12" s="777">
        <v>24000</v>
      </c>
      <c r="E12" s="779">
        <f t="shared" si="1"/>
        <v>0</v>
      </c>
      <c r="G12" s="780"/>
    </row>
    <row r="13" spans="1:7" ht="15" customHeight="1" x14ac:dyDescent="0.25">
      <c r="A13" s="775">
        <f t="shared" si="0"/>
        <v>11</v>
      </c>
      <c r="B13" s="776" t="s">
        <v>575</v>
      </c>
      <c r="C13" s="772">
        <v>0</v>
      </c>
      <c r="D13" s="777">
        <v>20760</v>
      </c>
      <c r="E13" s="779">
        <f t="shared" si="1"/>
        <v>0</v>
      </c>
      <c r="G13" s="780"/>
    </row>
    <row r="14" spans="1:7" ht="15" customHeight="1" x14ac:dyDescent="0.25">
      <c r="A14" s="775">
        <f t="shared" si="0"/>
        <v>12</v>
      </c>
      <c r="B14" s="776" t="s">
        <v>576</v>
      </c>
      <c r="C14" s="772">
        <v>0</v>
      </c>
      <c r="D14" s="777">
        <v>16614</v>
      </c>
      <c r="E14" s="779">
        <f t="shared" si="1"/>
        <v>0</v>
      </c>
      <c r="G14" s="780"/>
    </row>
    <row r="15" spans="1:7" ht="15" customHeight="1" x14ac:dyDescent="0.25">
      <c r="A15" s="775">
        <f t="shared" si="0"/>
        <v>13</v>
      </c>
      <c r="B15" s="776" t="s">
        <v>577</v>
      </c>
      <c r="C15" s="772">
        <v>0</v>
      </c>
      <c r="D15" s="777">
        <v>7000</v>
      </c>
      <c r="E15" s="779">
        <f t="shared" si="1"/>
        <v>0</v>
      </c>
      <c r="G15" s="780"/>
    </row>
    <row r="16" spans="1:7" ht="15" customHeight="1" x14ac:dyDescent="0.25">
      <c r="A16" s="775">
        <f t="shared" si="0"/>
        <v>14</v>
      </c>
      <c r="B16" s="776" t="s">
        <v>578</v>
      </c>
      <c r="C16" s="772">
        <v>0</v>
      </c>
      <c r="D16" s="777">
        <v>4400</v>
      </c>
      <c r="E16" s="779">
        <f t="shared" si="1"/>
        <v>0</v>
      </c>
      <c r="G16" s="780"/>
    </row>
    <row r="17" spans="1:7" ht="15" customHeight="1" x14ac:dyDescent="0.25">
      <c r="A17" s="775">
        <f t="shared" si="0"/>
        <v>15</v>
      </c>
      <c r="B17" s="782" t="s">
        <v>579</v>
      </c>
      <c r="C17" s="772">
        <v>0</v>
      </c>
      <c r="D17" s="777">
        <v>19000</v>
      </c>
      <c r="E17" s="779">
        <f t="shared" si="1"/>
        <v>0</v>
      </c>
      <c r="G17" s="780"/>
    </row>
    <row r="18" spans="1:7" ht="15" customHeight="1" x14ac:dyDescent="0.25">
      <c r="A18" s="775">
        <f t="shared" si="0"/>
        <v>16</v>
      </c>
      <c r="B18" s="782" t="s">
        <v>580</v>
      </c>
      <c r="C18" s="772">
        <v>0</v>
      </c>
      <c r="D18" s="777">
        <v>13609.78260869565</v>
      </c>
      <c r="E18" s="779">
        <f t="shared" si="1"/>
        <v>0</v>
      </c>
      <c r="G18" s="780"/>
    </row>
    <row r="19" spans="1:7" ht="15" customHeight="1" x14ac:dyDescent="0.25">
      <c r="A19" s="775">
        <f t="shared" si="0"/>
        <v>17</v>
      </c>
      <c r="B19" s="782" t="s">
        <v>581</v>
      </c>
      <c r="C19" s="772">
        <v>0</v>
      </c>
      <c r="D19" s="777">
        <v>17000</v>
      </c>
      <c r="E19" s="779">
        <f>C19*D19</f>
        <v>0</v>
      </c>
      <c r="G19" s="780"/>
    </row>
    <row r="20" spans="1:7" ht="15" customHeight="1" x14ac:dyDescent="0.25">
      <c r="A20" s="775">
        <f t="shared" si="0"/>
        <v>18</v>
      </c>
      <c r="B20" s="782" t="s">
        <v>582</v>
      </c>
      <c r="C20" s="772">
        <v>0</v>
      </c>
      <c r="D20" s="777">
        <v>11600</v>
      </c>
      <c r="E20" s="779">
        <f>C20*D20</f>
        <v>0</v>
      </c>
      <c r="G20" s="780"/>
    </row>
    <row r="21" spans="1:7" ht="15" customHeight="1" x14ac:dyDescent="0.25">
      <c r="A21" s="775">
        <f t="shared" si="0"/>
        <v>19</v>
      </c>
      <c r="B21" s="776" t="s">
        <v>583</v>
      </c>
      <c r="C21" s="772">
        <v>0</v>
      </c>
      <c r="D21" s="777">
        <v>35869.565217391311</v>
      </c>
      <c r="E21" s="779">
        <f t="shared" si="1"/>
        <v>0</v>
      </c>
      <c r="G21" s="780"/>
    </row>
    <row r="22" spans="1:7" ht="15" customHeight="1" x14ac:dyDescent="0.25">
      <c r="A22" s="775">
        <f t="shared" si="0"/>
        <v>20</v>
      </c>
      <c r="B22" s="776" t="s">
        <v>584</v>
      </c>
      <c r="C22" s="772">
        <v>0</v>
      </c>
      <c r="D22" s="777">
        <v>3500000</v>
      </c>
      <c r="E22" s="779">
        <f t="shared" si="1"/>
        <v>0</v>
      </c>
    </row>
    <row r="23" spans="1:7" ht="15" customHeight="1" x14ac:dyDescent="0.25">
      <c r="A23" s="775">
        <f t="shared" si="0"/>
        <v>21</v>
      </c>
      <c r="B23" s="776" t="s">
        <v>585</v>
      </c>
      <c r="C23" s="772">
        <v>0</v>
      </c>
      <c r="D23" s="777">
        <v>3200000</v>
      </c>
      <c r="E23" s="779">
        <f t="shared" si="1"/>
        <v>0</v>
      </c>
    </row>
    <row r="24" spans="1:7" ht="15" customHeight="1" x14ac:dyDescent="0.25">
      <c r="A24" s="775">
        <f t="shared" si="0"/>
        <v>22</v>
      </c>
      <c r="B24" s="776" t="s">
        <v>586</v>
      </c>
      <c r="C24" s="772">
        <v>0</v>
      </c>
      <c r="D24" s="777">
        <v>2000000</v>
      </c>
      <c r="E24" s="779">
        <f t="shared" si="1"/>
        <v>0</v>
      </c>
    </row>
    <row r="25" spans="1:7" ht="15" customHeight="1" x14ac:dyDescent="0.25">
      <c r="A25" s="775">
        <f t="shared" si="0"/>
        <v>23</v>
      </c>
      <c r="B25" s="776" t="s">
        <v>639</v>
      </c>
      <c r="C25" s="772">
        <v>0</v>
      </c>
      <c r="D25" s="777">
        <v>2700000</v>
      </c>
      <c r="E25" s="779">
        <f t="shared" si="1"/>
        <v>0</v>
      </c>
    </row>
    <row r="26" spans="1:7" ht="15" customHeight="1" x14ac:dyDescent="0.25">
      <c r="A26" s="775">
        <f t="shared" si="0"/>
        <v>24</v>
      </c>
      <c r="B26" s="776" t="s">
        <v>588</v>
      </c>
      <c r="C26" s="772">
        <v>0</v>
      </c>
      <c r="D26" s="777">
        <v>2150000</v>
      </c>
      <c r="E26" s="779">
        <f t="shared" si="1"/>
        <v>0</v>
      </c>
    </row>
    <row r="27" spans="1:7" ht="15" customHeight="1" x14ac:dyDescent="0.25">
      <c r="A27" s="775">
        <f t="shared" si="0"/>
        <v>25</v>
      </c>
      <c r="B27" s="776" t="s">
        <v>643</v>
      </c>
      <c r="C27" s="772">
        <v>1</v>
      </c>
      <c r="D27" s="777">
        <v>810000</v>
      </c>
      <c r="E27" s="779">
        <f t="shared" si="1"/>
        <v>810000</v>
      </c>
      <c r="G27" s="834"/>
    </row>
    <row r="28" spans="1:7" ht="15" customHeight="1" x14ac:dyDescent="0.25">
      <c r="A28" s="775">
        <f t="shared" si="0"/>
        <v>26</v>
      </c>
      <c r="B28" s="776" t="s">
        <v>590</v>
      </c>
      <c r="C28" s="772">
        <v>0</v>
      </c>
      <c r="D28" s="777">
        <v>160000</v>
      </c>
      <c r="E28" s="779">
        <f t="shared" si="1"/>
        <v>0</v>
      </c>
    </row>
    <row r="29" spans="1:7" ht="15" customHeight="1" x14ac:dyDescent="0.25">
      <c r="A29" s="775">
        <f t="shared" si="0"/>
        <v>27</v>
      </c>
      <c r="B29" s="776" t="s">
        <v>591</v>
      </c>
      <c r="C29" s="772">
        <v>0</v>
      </c>
      <c r="D29" s="777">
        <v>218000</v>
      </c>
      <c r="E29" s="779">
        <f t="shared" si="1"/>
        <v>0</v>
      </c>
    </row>
    <row r="30" spans="1:7" ht="15" customHeight="1" x14ac:dyDescent="0.25">
      <c r="A30" s="775">
        <f t="shared" si="0"/>
        <v>28</v>
      </c>
      <c r="B30" s="776" t="s">
        <v>592</v>
      </c>
      <c r="C30" s="772">
        <v>0</v>
      </c>
      <c r="D30" s="777">
        <v>850000</v>
      </c>
      <c r="E30" s="779">
        <f t="shared" si="1"/>
        <v>0</v>
      </c>
    </row>
    <row r="31" spans="1:7" ht="15" customHeight="1" x14ac:dyDescent="0.25">
      <c r="A31" s="775">
        <f t="shared" si="0"/>
        <v>29</v>
      </c>
      <c r="B31" s="776" t="s">
        <v>593</v>
      </c>
      <c r="C31" s="772">
        <v>0</v>
      </c>
      <c r="D31" s="777">
        <v>480000</v>
      </c>
      <c r="E31" s="779"/>
    </row>
    <row r="32" spans="1:7" ht="15" customHeight="1" x14ac:dyDescent="0.25">
      <c r="A32" s="775">
        <f t="shared" si="0"/>
        <v>30</v>
      </c>
      <c r="B32" s="776" t="s">
        <v>594</v>
      </c>
      <c r="C32" s="772">
        <v>0</v>
      </c>
      <c r="D32" s="777">
        <v>300000</v>
      </c>
      <c r="E32" s="779">
        <f t="shared" si="1"/>
        <v>0</v>
      </c>
    </row>
    <row r="33" spans="1:7" ht="15" customHeight="1" x14ac:dyDescent="0.25">
      <c r="A33" s="775">
        <f t="shared" si="0"/>
        <v>31</v>
      </c>
      <c r="B33" s="776" t="s">
        <v>595</v>
      </c>
      <c r="C33" s="772">
        <v>0</v>
      </c>
      <c r="D33" s="777">
        <v>200000</v>
      </c>
      <c r="E33" s="779">
        <f t="shared" si="1"/>
        <v>0</v>
      </c>
    </row>
    <row r="34" spans="1:7" ht="15" customHeight="1" x14ac:dyDescent="0.25">
      <c r="A34" s="775">
        <f t="shared" si="0"/>
        <v>32</v>
      </c>
      <c r="B34" s="776" t="s">
        <v>596</v>
      </c>
      <c r="C34" s="772">
        <v>0</v>
      </c>
      <c r="D34" s="777">
        <v>59800</v>
      </c>
      <c r="E34" s="779">
        <f t="shared" si="1"/>
        <v>0</v>
      </c>
    </row>
    <row r="35" spans="1:7" ht="15" customHeight="1" x14ac:dyDescent="0.25">
      <c r="A35" s="775">
        <f t="shared" si="0"/>
        <v>33</v>
      </c>
      <c r="B35" s="776" t="s">
        <v>597</v>
      </c>
      <c r="C35" s="772">
        <v>0</v>
      </c>
      <c r="D35" s="777">
        <v>7400</v>
      </c>
      <c r="E35" s="779">
        <f t="shared" si="1"/>
        <v>0</v>
      </c>
      <c r="G35" s="780"/>
    </row>
    <row r="36" spans="1:7" ht="15" customHeight="1" x14ac:dyDescent="0.25">
      <c r="A36" s="775">
        <f t="shared" si="0"/>
        <v>34</v>
      </c>
      <c r="B36" s="776" t="s">
        <v>598</v>
      </c>
      <c r="C36" s="772">
        <v>0</v>
      </c>
      <c r="D36" s="777">
        <v>14201.865057597364</v>
      </c>
      <c r="E36" s="779">
        <f t="shared" si="1"/>
        <v>0</v>
      </c>
      <c r="G36" s="780"/>
    </row>
    <row r="37" spans="1:7" ht="15" customHeight="1" x14ac:dyDescent="0.25">
      <c r="A37" s="775">
        <f t="shared" si="0"/>
        <v>35</v>
      </c>
      <c r="B37" s="776" t="s">
        <v>599</v>
      </c>
      <c r="C37" s="772">
        <v>0</v>
      </c>
      <c r="D37" s="777">
        <v>9000</v>
      </c>
      <c r="E37" s="779">
        <f t="shared" si="1"/>
        <v>0</v>
      </c>
      <c r="G37" s="780"/>
    </row>
    <row r="38" spans="1:7" ht="15" customHeight="1" x14ac:dyDescent="0.25">
      <c r="A38" s="775">
        <f t="shared" si="0"/>
        <v>36</v>
      </c>
      <c r="B38" s="776" t="s">
        <v>600</v>
      </c>
      <c r="C38" s="772">
        <v>0</v>
      </c>
      <c r="D38" s="777">
        <v>1468.0412371134018</v>
      </c>
      <c r="E38" s="779">
        <f t="shared" si="1"/>
        <v>0</v>
      </c>
      <c r="G38" s="780"/>
    </row>
    <row r="39" spans="1:7" ht="15" customHeight="1" x14ac:dyDescent="0.25">
      <c r="A39" s="775">
        <f t="shared" si="0"/>
        <v>37</v>
      </c>
      <c r="B39" s="776" t="s">
        <v>601</v>
      </c>
      <c r="C39" s="772">
        <v>0</v>
      </c>
      <c r="D39" s="777">
        <v>6775.3623188405809</v>
      </c>
      <c r="E39" s="779">
        <f t="shared" si="1"/>
        <v>0</v>
      </c>
      <c r="G39" s="780"/>
    </row>
    <row r="40" spans="1:7" ht="15" customHeight="1" x14ac:dyDescent="0.25">
      <c r="A40" s="783">
        <f t="shared" si="0"/>
        <v>38</v>
      </c>
      <c r="B40" s="784" t="s">
        <v>602</v>
      </c>
      <c r="C40" s="785">
        <v>0</v>
      </c>
      <c r="D40" s="786">
        <v>6918.4782608695632</v>
      </c>
      <c r="E40" s="787">
        <f>C40*D40</f>
        <v>0</v>
      </c>
      <c r="G40" s="780"/>
    </row>
    <row r="41" spans="1:7" ht="15" customHeight="1" x14ac:dyDescent="0.25">
      <c r="A41" s="788"/>
      <c r="B41" s="789"/>
      <c r="C41" s="790"/>
      <c r="D41" s="791"/>
      <c r="E41" s="774"/>
    </row>
    <row r="42" spans="1:7" ht="15" customHeight="1" x14ac:dyDescent="0.25">
      <c r="A42" s="792"/>
      <c r="B42" s="793" t="s">
        <v>603</v>
      </c>
      <c r="C42" s="794"/>
      <c r="D42" s="795"/>
      <c r="E42" s="796">
        <f>SUM(E3:E40)</f>
        <v>875250</v>
      </c>
    </row>
    <row r="43" spans="1:7" ht="22.5" customHeight="1" thickBot="1" x14ac:dyDescent="0.3">
      <c r="A43" s="797"/>
      <c r="B43" s="798" t="s">
        <v>604</v>
      </c>
      <c r="C43" s="799"/>
      <c r="D43" s="800"/>
      <c r="E43" s="801">
        <f>+E42-SUM(E22:E33)</f>
        <v>65250</v>
      </c>
    </row>
    <row r="44" spans="1:7" ht="30" customHeight="1" x14ac:dyDescent="0.25">
      <c r="A44" s="802"/>
      <c r="B44" s="803"/>
      <c r="C44" s="804"/>
      <c r="D44" s="805" t="s">
        <v>605</v>
      </c>
      <c r="E44" s="806"/>
    </row>
    <row r="45" spans="1:7" ht="15" customHeight="1" x14ac:dyDescent="0.25">
      <c r="A45" s="807">
        <f>+A40+1</f>
        <v>39</v>
      </c>
      <c r="B45" s="808" t="s">
        <v>606</v>
      </c>
      <c r="C45" s="809" t="s">
        <v>607</v>
      </c>
      <c r="D45" s="810">
        <v>5</v>
      </c>
      <c r="E45" s="811">
        <f>$E$43*D45/100</f>
        <v>3262.5</v>
      </c>
    </row>
    <row r="46" spans="1:7" ht="15" customHeight="1" x14ac:dyDescent="0.25">
      <c r="A46" s="775">
        <f>+A45+1</f>
        <v>40</v>
      </c>
      <c r="B46" s="808" t="s">
        <v>608</v>
      </c>
      <c r="C46" s="809" t="s">
        <v>607</v>
      </c>
      <c r="D46" s="810">
        <v>12</v>
      </c>
      <c r="E46" s="811">
        <f>$E$43*D46/100</f>
        <v>7830</v>
      </c>
    </row>
    <row r="47" spans="1:7" ht="15" customHeight="1" x14ac:dyDescent="0.25">
      <c r="A47" s="775">
        <f>+A46+1</f>
        <v>41</v>
      </c>
      <c r="B47" s="808" t="s">
        <v>609</v>
      </c>
      <c r="C47" s="809" t="s">
        <v>607</v>
      </c>
      <c r="D47" s="810">
        <v>50</v>
      </c>
      <c r="E47" s="811">
        <f>E43*D47/100</f>
        <v>32625</v>
      </c>
    </row>
    <row r="48" spans="1:7" ht="15" customHeight="1" x14ac:dyDescent="0.25">
      <c r="A48" s="775">
        <f>+A47+1</f>
        <v>42</v>
      </c>
      <c r="B48" s="808" t="s">
        <v>610</v>
      </c>
      <c r="C48" s="809" t="s">
        <v>607</v>
      </c>
      <c r="D48" s="810">
        <v>70</v>
      </c>
      <c r="E48" s="811">
        <f>E43*D48/100</f>
        <v>45675</v>
      </c>
    </row>
    <row r="49" spans="1:5" x14ac:dyDescent="0.25">
      <c r="A49" s="775">
        <f>+A48+1</f>
        <v>43</v>
      </c>
      <c r="B49" s="808" t="s">
        <v>611</v>
      </c>
      <c r="C49" s="809" t="s">
        <v>607</v>
      </c>
      <c r="D49" s="810">
        <v>15</v>
      </c>
      <c r="E49" s="811">
        <f>E43*D49/100</f>
        <v>9787.5</v>
      </c>
    </row>
    <row r="50" spans="1:5" x14ac:dyDescent="0.25">
      <c r="A50" s="775">
        <f>+A49+1</f>
        <v>44</v>
      </c>
      <c r="B50" s="808" t="s">
        <v>612</v>
      </c>
      <c r="C50" s="809" t="s">
        <v>607</v>
      </c>
      <c r="D50" s="810">
        <v>25</v>
      </c>
      <c r="E50" s="811">
        <f>E43*D50/100</f>
        <v>16312.5</v>
      </c>
    </row>
    <row r="51" spans="1:5" x14ac:dyDescent="0.25">
      <c r="A51" s="807"/>
      <c r="B51" s="808"/>
      <c r="C51" s="809"/>
      <c r="D51" s="776"/>
      <c r="E51" s="779"/>
    </row>
    <row r="52" spans="1:5" ht="15.75" thickBot="1" x14ac:dyDescent="0.3">
      <c r="A52" s="797"/>
      <c r="B52" s="812" t="s">
        <v>613</v>
      </c>
      <c r="C52" s="813"/>
      <c r="D52" s="814"/>
      <c r="E52" s="801">
        <f>+E42+SUM(E45:E50)</f>
        <v>990742.5</v>
      </c>
    </row>
    <row r="53" spans="1:5" x14ac:dyDescent="0.25">
      <c r="A53" s="802"/>
      <c r="B53" s="803"/>
      <c r="C53" s="815"/>
      <c r="D53" s="816" t="s">
        <v>614</v>
      </c>
      <c r="E53" s="806"/>
    </row>
    <row r="54" spans="1:5" x14ac:dyDescent="0.25">
      <c r="A54" s="807">
        <f>+A50+1</f>
        <v>45</v>
      </c>
      <c r="B54" s="808" t="s">
        <v>615</v>
      </c>
      <c r="C54" s="809" t="s">
        <v>607</v>
      </c>
      <c r="D54" s="810">
        <v>15</v>
      </c>
      <c r="E54" s="779">
        <f>E52*D54/100</f>
        <v>148611.375</v>
      </c>
    </row>
    <row r="55" spans="1:5" x14ac:dyDescent="0.25">
      <c r="A55" s="775">
        <f>+A54+1</f>
        <v>46</v>
      </c>
      <c r="B55" s="808" t="s">
        <v>616</v>
      </c>
      <c r="C55" s="809" t="s">
        <v>607</v>
      </c>
      <c r="D55" s="817">
        <v>25</v>
      </c>
      <c r="E55" s="779">
        <f>E52*D55/100</f>
        <v>247685.625</v>
      </c>
    </row>
    <row r="56" spans="1:5" x14ac:dyDescent="0.25">
      <c r="A56" s="807"/>
      <c r="B56" s="808"/>
      <c r="C56" s="818"/>
      <c r="D56" s="776"/>
      <c r="E56" s="779"/>
    </row>
    <row r="57" spans="1:5" ht="15.75" thickBot="1" x14ac:dyDescent="0.3">
      <c r="A57" s="797"/>
      <c r="B57" s="812" t="s">
        <v>618</v>
      </c>
      <c r="C57" s="813"/>
      <c r="D57" s="814"/>
      <c r="E57" s="801">
        <f>SUM(E52,E54,E55)</f>
        <v>1387039.5</v>
      </c>
    </row>
    <row r="58" spans="1:5" x14ac:dyDescent="0.25">
      <c r="A58" s="802"/>
      <c r="B58" s="803"/>
      <c r="C58" s="820"/>
      <c r="D58" s="816" t="s">
        <v>620</v>
      </c>
      <c r="E58" s="821"/>
    </row>
    <row r="59" spans="1:5" x14ac:dyDescent="0.25">
      <c r="A59" s="807">
        <f>A55+1</f>
        <v>47</v>
      </c>
      <c r="B59" s="808" t="s">
        <v>622</v>
      </c>
      <c r="C59" s="818"/>
      <c r="D59" s="822">
        <v>5</v>
      </c>
      <c r="E59" s="779">
        <f t="shared" ref="E59:E65" si="2">$E$57*D59/100</f>
        <v>69351.975000000006</v>
      </c>
    </row>
    <row r="60" spans="1:5" x14ac:dyDescent="0.25">
      <c r="A60" s="775">
        <f t="shared" ref="A60:A66" si="3">+A59+1</f>
        <v>48</v>
      </c>
      <c r="B60" s="823" t="s">
        <v>623</v>
      </c>
      <c r="C60" s="818"/>
      <c r="D60" s="822">
        <v>3</v>
      </c>
      <c r="E60" s="779">
        <f t="shared" si="2"/>
        <v>41611.184999999998</v>
      </c>
    </row>
    <row r="61" spans="1:5" x14ac:dyDescent="0.25">
      <c r="A61" s="775">
        <f t="shared" si="3"/>
        <v>49</v>
      </c>
      <c r="B61" s="808" t="s">
        <v>625</v>
      </c>
      <c r="C61" s="818"/>
      <c r="D61" s="822">
        <v>4</v>
      </c>
      <c r="E61" s="779">
        <f t="shared" si="2"/>
        <v>55481.58</v>
      </c>
    </row>
    <row r="62" spans="1:5" x14ac:dyDescent="0.25">
      <c r="A62" s="775">
        <f t="shared" si="3"/>
        <v>50</v>
      </c>
      <c r="B62" s="823" t="s">
        <v>339</v>
      </c>
      <c r="C62" s="818"/>
      <c r="D62" s="822">
        <v>4</v>
      </c>
      <c r="E62" s="779">
        <f t="shared" si="2"/>
        <v>55481.58</v>
      </c>
    </row>
    <row r="63" spans="1:5" x14ac:dyDescent="0.25">
      <c r="A63" s="775">
        <f t="shared" si="3"/>
        <v>51</v>
      </c>
      <c r="B63" s="808" t="s">
        <v>626</v>
      </c>
      <c r="C63" s="818"/>
      <c r="D63" s="822">
        <v>3</v>
      </c>
      <c r="E63" s="779">
        <f t="shared" si="2"/>
        <v>41611.184999999998</v>
      </c>
    </row>
    <row r="64" spans="1:5" x14ac:dyDescent="0.25">
      <c r="A64" s="775">
        <f t="shared" si="3"/>
        <v>52</v>
      </c>
      <c r="B64" s="823" t="s">
        <v>628</v>
      </c>
      <c r="C64" s="818"/>
      <c r="D64" s="822">
        <v>6</v>
      </c>
      <c r="E64" s="779">
        <f t="shared" si="2"/>
        <v>83222.37</v>
      </c>
    </row>
    <row r="65" spans="1:7" x14ac:dyDescent="0.25">
      <c r="A65" s="775">
        <f t="shared" si="3"/>
        <v>53</v>
      </c>
      <c r="B65" s="808" t="s">
        <v>629</v>
      </c>
      <c r="C65" s="818"/>
      <c r="D65" s="822">
        <v>0.19</v>
      </c>
      <c r="E65" s="779">
        <f t="shared" si="2"/>
        <v>2635.3750500000001</v>
      </c>
    </row>
    <row r="66" spans="1:7" ht="15.75" thickBot="1" x14ac:dyDescent="0.3">
      <c r="A66" s="824">
        <f t="shared" si="3"/>
        <v>54</v>
      </c>
      <c r="B66" s="825" t="s">
        <v>630</v>
      </c>
      <c r="C66" s="826" t="s">
        <v>631</v>
      </c>
      <c r="D66" s="827">
        <v>0</v>
      </c>
      <c r="E66" s="828">
        <f>D66*16.75</f>
        <v>0</v>
      </c>
    </row>
    <row r="67" spans="1:7" ht="15.75" thickBot="1" x14ac:dyDescent="0.3">
      <c r="A67" s="797"/>
      <c r="B67" s="829" t="s">
        <v>632</v>
      </c>
      <c r="C67" s="813"/>
      <c r="D67" s="814"/>
      <c r="E67" s="830">
        <f>SUM(E57,E59:E66)</f>
        <v>1736434.7500500004</v>
      </c>
    </row>
    <row r="68" spans="1:7" ht="18.75" x14ac:dyDescent="0.3">
      <c r="A68" s="831"/>
      <c r="B68" s="832"/>
      <c r="C68" s="832"/>
      <c r="D68" s="833"/>
      <c r="E68" s="832"/>
      <c r="G68" s="887">
        <f>+E27</f>
        <v>810000</v>
      </c>
    </row>
    <row r="69" spans="1:7" ht="18.75" x14ac:dyDescent="0.3">
      <c r="G69" s="887">
        <f>+E67-G68</f>
        <v>926434.75005000038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R37"/>
  <sheetViews>
    <sheetView zoomScale="70" zoomScaleNormal="70" workbookViewId="0">
      <selection activeCell="Q32" sqref="Q32"/>
    </sheetView>
  </sheetViews>
  <sheetFormatPr baseColWidth="10" defaultColWidth="11.42578125" defaultRowHeight="12.75" x14ac:dyDescent="0.2"/>
  <cols>
    <col min="1" max="1" width="38.42578125" customWidth="1"/>
    <col min="2" max="2" width="17.85546875" customWidth="1"/>
    <col min="3" max="3" width="14.42578125" customWidth="1"/>
    <col min="4" max="4" width="13.42578125" customWidth="1"/>
    <col min="5" max="5" width="11.85546875" customWidth="1"/>
    <col min="7" max="7" width="12.85546875" customWidth="1"/>
    <col min="8" max="8" width="11.28515625" customWidth="1"/>
    <col min="9" max="9" width="17.5703125" customWidth="1"/>
    <col min="10" max="10" width="11.85546875" customWidth="1"/>
    <col min="11" max="11" width="23.28515625" customWidth="1"/>
  </cols>
  <sheetData>
    <row r="1" spans="1:18" ht="18" x14ac:dyDescent="0.25">
      <c r="A1" s="1587" t="s">
        <v>13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8" ht="39.6" customHeight="1" thickBot="1" x14ac:dyDescent="0.25">
      <c r="A2" s="1612" t="s">
        <v>23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</row>
    <row r="3" spans="1:18" ht="27.6" customHeight="1" x14ac:dyDescent="0.2">
      <c r="A3" s="1613" t="s">
        <v>25</v>
      </c>
      <c r="B3" s="1614"/>
      <c r="C3" s="1614"/>
      <c r="D3" s="1614"/>
      <c r="E3" s="1621" t="s">
        <v>78</v>
      </c>
      <c r="F3" s="1622"/>
      <c r="G3" s="1622"/>
      <c r="H3" s="1622"/>
      <c r="I3" s="1622"/>
      <c r="J3" s="1622"/>
      <c r="K3" s="1623"/>
    </row>
    <row r="4" spans="1:18" ht="27.6" customHeight="1" thickBot="1" x14ac:dyDescent="0.25">
      <c r="A4" s="1615"/>
      <c r="B4" s="1616"/>
      <c r="C4" s="1616"/>
      <c r="D4" s="1616"/>
      <c r="E4" s="21"/>
      <c r="K4" s="27"/>
    </row>
    <row r="5" spans="1:18" ht="27.6" customHeight="1" x14ac:dyDescent="0.2">
      <c r="A5" s="1615"/>
      <c r="B5" s="1616"/>
      <c r="C5" s="1616"/>
      <c r="D5" s="1616"/>
      <c r="E5" s="1621" t="s">
        <v>79</v>
      </c>
      <c r="F5" s="1622"/>
      <c r="G5" s="1622"/>
      <c r="H5" s="1622"/>
      <c r="I5" s="1622"/>
      <c r="J5" s="1622"/>
      <c r="K5" s="1623"/>
    </row>
    <row r="6" spans="1:18" ht="27.6" customHeight="1" thickBot="1" x14ac:dyDescent="0.25">
      <c r="A6" s="1617"/>
      <c r="B6" s="1618"/>
      <c r="C6" s="1618"/>
      <c r="D6" s="1618"/>
      <c r="E6" s="28"/>
      <c r="F6" s="25"/>
      <c r="G6" s="25"/>
      <c r="H6" s="25"/>
      <c r="I6" s="25"/>
      <c r="J6" s="25"/>
      <c r="K6" s="26"/>
    </row>
    <row r="7" spans="1:18" ht="18" customHeight="1" thickBot="1" x14ac:dyDescent="0.25">
      <c r="A7" s="57"/>
      <c r="B7" s="57"/>
      <c r="C7" s="57"/>
      <c r="D7" s="57"/>
      <c r="H7" s="25"/>
    </row>
    <row r="8" spans="1:18" ht="26.45" customHeight="1" x14ac:dyDescent="0.2">
      <c r="A8" s="1611" t="s">
        <v>24</v>
      </c>
      <c r="B8" s="1611" t="s">
        <v>17</v>
      </c>
      <c r="C8" s="1606" t="s">
        <v>1</v>
      </c>
      <c r="D8" s="1606" t="s">
        <v>173</v>
      </c>
      <c r="E8" s="1619" t="s">
        <v>85</v>
      </c>
      <c r="F8" s="1620" t="s">
        <v>131</v>
      </c>
      <c r="G8" s="1620" t="s">
        <v>132</v>
      </c>
      <c r="H8" s="1620" t="s">
        <v>133</v>
      </c>
      <c r="I8" s="1620" t="s">
        <v>76</v>
      </c>
      <c r="J8" s="76"/>
      <c r="K8" s="1611" t="s">
        <v>77</v>
      </c>
      <c r="L8" s="1610" t="s">
        <v>74</v>
      </c>
      <c r="M8" s="1611" t="s">
        <v>130</v>
      </c>
      <c r="N8" s="291"/>
      <c r="O8" s="282" t="s">
        <v>183</v>
      </c>
      <c r="Q8" s="1608" t="s">
        <v>175</v>
      </c>
    </row>
    <row r="9" spans="1:18" ht="16.899999999999999" customHeight="1" x14ac:dyDescent="0.2">
      <c r="A9" s="1611"/>
      <c r="B9" s="1611"/>
      <c r="C9" s="1607"/>
      <c r="D9" s="1607"/>
      <c r="E9" s="1619"/>
      <c r="F9" s="1620"/>
      <c r="G9" s="1620"/>
      <c r="H9" s="1620"/>
      <c r="I9" s="1620"/>
      <c r="J9" s="77"/>
      <c r="K9" s="1611"/>
      <c r="L9" s="1610"/>
      <c r="M9" s="1611"/>
      <c r="N9" s="291"/>
      <c r="O9" s="282"/>
      <c r="Q9" s="1609"/>
    </row>
    <row r="10" spans="1:18" ht="18.75" customHeight="1" x14ac:dyDescent="0.25">
      <c r="A10" s="82" t="s">
        <v>15</v>
      </c>
      <c r="B10" s="80"/>
      <c r="C10" s="263"/>
      <c r="D10" s="80"/>
      <c r="E10" s="264"/>
      <c r="F10" s="126">
        <f>+'CX cxj Año1 '!F10</f>
        <v>1.8700000000000001E-2</v>
      </c>
      <c r="G10" s="126">
        <f>+'CX cxj Año1 '!G10</f>
        <v>1.32E-2</v>
      </c>
      <c r="H10" s="1126">
        <f>+'CX cxj Año1 '!H10</f>
        <v>3.3385882564188139E-2</v>
      </c>
      <c r="I10" s="126">
        <f>+'CX cxj Año1 '!I10</f>
        <v>7.2999999999999995E-2</v>
      </c>
      <c r="J10" s="127"/>
      <c r="K10" s="81"/>
      <c r="L10" s="183">
        <f>+'CX cxj Año1 '!L10</f>
        <v>0.50979655790306455</v>
      </c>
      <c r="M10" s="81"/>
      <c r="N10" s="292"/>
      <c r="O10" s="283"/>
      <c r="Q10" s="266"/>
    </row>
    <row r="11" spans="1:18" x14ac:dyDescent="0.2">
      <c r="A11" s="85" t="s">
        <v>3</v>
      </c>
      <c r="B11" s="73"/>
      <c r="C11" s="78"/>
      <c r="D11" s="73"/>
      <c r="E11" s="78"/>
      <c r="F11" s="79"/>
      <c r="G11" s="60"/>
      <c r="H11" s="79"/>
      <c r="I11" s="86"/>
      <c r="J11" s="60"/>
      <c r="K11" s="94"/>
      <c r="L11" s="79"/>
      <c r="M11" s="86"/>
      <c r="Q11" s="267"/>
    </row>
    <row r="12" spans="1:18" x14ac:dyDescent="0.2">
      <c r="A12" s="1544" t="s">
        <v>86</v>
      </c>
      <c r="B12" s="23" t="str">
        <f>+[8]VNR2004!B8</f>
        <v>Miles B/./Salida</v>
      </c>
      <c r="C12" s="1555">
        <f>+'CX cxj Año1 '!C12</f>
        <v>9738.4810921140579</v>
      </c>
      <c r="D12" s="23">
        <f>+' VNR'!D5+' VNR'!D34</f>
        <v>4</v>
      </c>
      <c r="E12" s="62">
        <f>+C12/D12</f>
        <v>2434.6202730285145</v>
      </c>
      <c r="F12" s="23">
        <f>$E12*$F$10</f>
        <v>45.527399105633222</v>
      </c>
      <c r="G12" s="63">
        <f>+$E12*$G$10</f>
        <v>32.136987603976394</v>
      </c>
      <c r="H12" s="23">
        <f>$E12*$H$10</f>
        <v>81.281946523721643</v>
      </c>
      <c r="I12" s="88">
        <f>$E12*$I$10</f>
        <v>177.72727993108154</v>
      </c>
      <c r="J12" s="61"/>
      <c r="K12" s="95">
        <f>+F12+G12+H12+I12</f>
        <v>336.67361316441281</v>
      </c>
      <c r="L12" s="96"/>
      <c r="M12" s="255">
        <f>ROUND(+K12*$L$10,2)</f>
        <v>171.64</v>
      </c>
      <c r="N12" s="42"/>
      <c r="O12" s="288">
        <v>12</v>
      </c>
      <c r="P12" s="111"/>
      <c r="Q12" s="268">
        <f>+M12*D12/12*O12</f>
        <v>686.56</v>
      </c>
    </row>
    <row r="13" spans="1:18" x14ac:dyDescent="0.2">
      <c r="A13" s="87" t="s">
        <v>87</v>
      </c>
      <c r="B13" s="23" t="str">
        <f>+[8]VNR2004!B9</f>
        <v>Miles B/./Salida</v>
      </c>
      <c r="C13" s="62">
        <f>+'CX cxj Año1 '!C13</f>
        <v>38660.98630077891</v>
      </c>
      <c r="D13" s="23">
        <f>+' VNR'!D6</f>
        <v>13</v>
      </c>
      <c r="E13" s="62">
        <f t="shared" ref="E13:E15" si="0">+C13/D13</f>
        <v>2973.922023136839</v>
      </c>
      <c r="F13" s="23">
        <f t="shared" ref="F13:F26" si="1">$E13*$F$10</f>
        <v>55.612341832658892</v>
      </c>
      <c r="G13" s="63">
        <f t="shared" ref="G13:G26" si="2">+$E13*$G$10</f>
        <v>39.255770705406277</v>
      </c>
      <c r="H13" s="23">
        <f t="shared" ref="H13:H26" si="3">$E13*$H$10</f>
        <v>99.287011419499308</v>
      </c>
      <c r="I13" s="88">
        <f t="shared" ref="I13:I26" si="4">$E13*$I$10</f>
        <v>217.09630768898924</v>
      </c>
      <c r="J13" s="61"/>
      <c r="K13" s="95">
        <f t="shared" ref="K13:K19" si="5">+F13+G13+H13+I13</f>
        <v>411.25143164655367</v>
      </c>
      <c r="L13" s="96"/>
      <c r="M13" s="255">
        <f t="shared" ref="M13:M23" si="6">ROUND(+K13*$L$10,2)</f>
        <v>209.65</v>
      </c>
      <c r="N13" s="42"/>
      <c r="O13" s="288">
        <v>12</v>
      </c>
      <c r="Q13" s="268">
        <f t="shared" ref="Q13:Q16" si="7">+M13*D13/12*O13</f>
        <v>2725.4500000000003</v>
      </c>
      <c r="R13" s="34"/>
    </row>
    <row r="14" spans="1:18" x14ac:dyDescent="0.2">
      <c r="A14" s="87" t="s">
        <v>88</v>
      </c>
      <c r="B14" s="23" t="str">
        <f>+[8]VNR2004!B10</f>
        <v>Miles B/./Salida</v>
      </c>
      <c r="C14" s="62">
        <f>+'CX cxj Año1 '!C14</f>
        <v>2158.3127379330022</v>
      </c>
      <c r="D14" s="23">
        <f>+' VNR'!D7</f>
        <v>3</v>
      </c>
      <c r="E14" s="62">
        <f t="shared" si="0"/>
        <v>719.43757931100072</v>
      </c>
      <c r="F14" s="23">
        <f t="shared" si="1"/>
        <v>13.453482733115715</v>
      </c>
      <c r="G14" s="63">
        <f t="shared" si="2"/>
        <v>9.4965760469052096</v>
      </c>
      <c r="H14" s="23">
        <f t="shared" si="3"/>
        <v>24.019058535140861</v>
      </c>
      <c r="I14" s="88">
        <f t="shared" si="4"/>
        <v>52.518943289703046</v>
      </c>
      <c r="J14" s="61"/>
      <c r="K14" s="95">
        <f t="shared" si="5"/>
        <v>99.488060604864827</v>
      </c>
      <c r="L14" s="96"/>
      <c r="M14" s="255">
        <f t="shared" si="6"/>
        <v>50.72</v>
      </c>
      <c r="N14" s="42"/>
      <c r="O14" s="288">
        <v>12</v>
      </c>
      <c r="Q14" s="268">
        <f t="shared" si="7"/>
        <v>152.16</v>
      </c>
    </row>
    <row r="15" spans="1:18" x14ac:dyDescent="0.2">
      <c r="A15" s="87" t="s">
        <v>89</v>
      </c>
      <c r="B15" s="23" t="str">
        <f>+[8]VNR2004!B11</f>
        <v>Miles B/./Salida</v>
      </c>
      <c r="C15" s="62">
        <f>+'CX cxj Año1 '!C15</f>
        <v>9091.9350774996201</v>
      </c>
      <c r="D15" s="23">
        <f>+' VNR'!D8</f>
        <v>3</v>
      </c>
      <c r="E15" s="62">
        <f t="shared" si="0"/>
        <v>3030.6450258332065</v>
      </c>
      <c r="F15" s="23">
        <f t="shared" si="1"/>
        <v>56.673061983080963</v>
      </c>
      <c r="G15" s="63">
        <f t="shared" si="2"/>
        <v>40.004514340998327</v>
      </c>
      <c r="H15" s="23">
        <f t="shared" si="3"/>
        <v>101.18075892620837</v>
      </c>
      <c r="I15" s="88">
        <f t="shared" si="4"/>
        <v>221.23708688582406</v>
      </c>
      <c r="J15" s="61"/>
      <c r="K15" s="95">
        <f t="shared" si="5"/>
        <v>419.09542213611172</v>
      </c>
      <c r="L15" s="96"/>
      <c r="M15" s="255">
        <f t="shared" si="6"/>
        <v>213.65</v>
      </c>
      <c r="N15" s="42"/>
      <c r="O15" s="288">
        <v>12</v>
      </c>
      <c r="Q15" s="268">
        <f t="shared" si="7"/>
        <v>640.95000000000005</v>
      </c>
    </row>
    <row r="16" spans="1:18" x14ac:dyDescent="0.2">
      <c r="A16" s="87" t="s">
        <v>98</v>
      </c>
      <c r="B16" s="59" t="s">
        <v>68</v>
      </c>
      <c r="C16" s="62">
        <f>+'CX cxj Año1 '!C16+' VNR'!F39/2+' VNR'!L39/2</f>
        <v>0</v>
      </c>
      <c r="D16" s="23">
        <f>+' VNR'!D9</f>
        <v>0</v>
      </c>
      <c r="E16" s="62">
        <f>+' VNR'!E9</f>
        <v>0</v>
      </c>
      <c r="F16" s="23">
        <f t="shared" si="1"/>
        <v>0</v>
      </c>
      <c r="G16" s="63">
        <f t="shared" si="2"/>
        <v>0</v>
      </c>
      <c r="H16" s="23">
        <f t="shared" si="3"/>
        <v>0</v>
      </c>
      <c r="I16" s="88">
        <f t="shared" si="4"/>
        <v>0</v>
      </c>
      <c r="J16" s="61"/>
      <c r="K16" s="95">
        <f t="shared" si="5"/>
        <v>0</v>
      </c>
      <c r="L16" s="96"/>
      <c r="M16" s="255">
        <f t="shared" si="6"/>
        <v>0</v>
      </c>
      <c r="N16" s="281"/>
      <c r="O16" s="289"/>
      <c r="Q16" s="268">
        <f t="shared" si="7"/>
        <v>0</v>
      </c>
    </row>
    <row r="17" spans="1:17" x14ac:dyDescent="0.2">
      <c r="A17" s="87" t="s">
        <v>99</v>
      </c>
      <c r="B17" s="23" t="str">
        <f>+[8]VNR2004!B13</f>
        <v>Miles B/./Salida</v>
      </c>
      <c r="C17" s="62">
        <f>+'CX cxj Año1 '!C17+' VNR'!F40/2+' VNR'!L40/2</f>
        <v>0</v>
      </c>
      <c r="D17" s="23"/>
      <c r="E17" s="62"/>
      <c r="F17" s="23">
        <f t="shared" si="1"/>
        <v>0</v>
      </c>
      <c r="G17" s="63">
        <f t="shared" si="2"/>
        <v>0</v>
      </c>
      <c r="H17" s="23">
        <f t="shared" si="3"/>
        <v>0</v>
      </c>
      <c r="I17" s="88">
        <f t="shared" si="4"/>
        <v>0</v>
      </c>
      <c r="J17" s="61"/>
      <c r="K17" s="95">
        <f t="shared" si="5"/>
        <v>0</v>
      </c>
      <c r="L17" s="96"/>
      <c r="M17" s="255">
        <f t="shared" si="6"/>
        <v>0</v>
      </c>
      <c r="N17" s="281"/>
      <c r="O17" s="289"/>
      <c r="Q17" s="268"/>
    </row>
    <row r="18" spans="1:17" x14ac:dyDescent="0.2">
      <c r="A18" s="1545" t="s">
        <v>90</v>
      </c>
      <c r="B18" s="59" t="s">
        <v>68</v>
      </c>
      <c r="C18" s="1555">
        <f>+' VNR'!C11+' VNR'!C41+' VNR'!L41/2</f>
        <v>40679.677890980718</v>
      </c>
      <c r="D18" s="23">
        <f>+' VNR'!D11+' VNR'!D41+' VNR'!M41/2</f>
        <v>8.5</v>
      </c>
      <c r="E18" s="62">
        <f t="shared" ref="E18" si="8">+C18/D18</f>
        <v>4785.8444577624377</v>
      </c>
      <c r="F18" s="23">
        <f t="shared" si="1"/>
        <v>89.495291360157594</v>
      </c>
      <c r="G18" s="63">
        <f t="shared" si="2"/>
        <v>63.173146842464178</v>
      </c>
      <c r="H18" s="23">
        <f t="shared" si="3"/>
        <v>159.77964103732742</v>
      </c>
      <c r="I18" s="88">
        <f t="shared" si="4"/>
        <v>349.36664541665795</v>
      </c>
      <c r="J18" s="61"/>
      <c r="K18" s="184">
        <f t="shared" si="5"/>
        <v>661.81472465660704</v>
      </c>
      <c r="L18" s="96"/>
      <c r="M18" s="255">
        <f>ROUND(+K18*$L$10,2)</f>
        <v>337.39</v>
      </c>
      <c r="N18" s="42"/>
      <c r="O18" s="288">
        <v>12</v>
      </c>
      <c r="Q18" s="268">
        <f t="shared" ref="Q18:Q19" si="9">+M18*D18/12*O18</f>
        <v>2867.8150000000001</v>
      </c>
    </row>
    <row r="19" spans="1:17" x14ac:dyDescent="0.2">
      <c r="A19" s="187" t="s">
        <v>168</v>
      </c>
      <c r="B19" s="59" t="s">
        <v>68</v>
      </c>
      <c r="C19" s="62">
        <v>0</v>
      </c>
      <c r="D19" s="23">
        <v>0</v>
      </c>
      <c r="E19" s="62">
        <v>0</v>
      </c>
      <c r="F19" s="23">
        <f t="shared" si="1"/>
        <v>0</v>
      </c>
      <c r="G19" s="63">
        <f t="shared" si="2"/>
        <v>0</v>
      </c>
      <c r="H19" s="23">
        <f t="shared" si="3"/>
        <v>0</v>
      </c>
      <c r="I19" s="88">
        <f t="shared" si="4"/>
        <v>0</v>
      </c>
      <c r="J19" s="61"/>
      <c r="K19" s="184">
        <f t="shared" si="5"/>
        <v>0</v>
      </c>
      <c r="L19" s="96"/>
      <c r="M19" s="255">
        <f>ROUND(+K19*$L$10,2)</f>
        <v>0</v>
      </c>
      <c r="N19" s="42"/>
      <c r="O19" s="288">
        <v>12</v>
      </c>
      <c r="Q19" s="268">
        <f t="shared" si="9"/>
        <v>0</v>
      </c>
    </row>
    <row r="20" spans="1:17" x14ac:dyDescent="0.2">
      <c r="A20" s="271" t="s">
        <v>4</v>
      </c>
      <c r="B20" s="23"/>
      <c r="C20" s="62">
        <f>+'CX cxj Año1 '!C20+' VNR'!F44/2+' VNR'!L44/2</f>
        <v>0</v>
      </c>
      <c r="D20" s="23"/>
      <c r="E20" s="62"/>
      <c r="F20" s="23"/>
      <c r="G20" s="63"/>
      <c r="H20" s="23"/>
      <c r="I20" s="88"/>
      <c r="J20" s="61"/>
      <c r="K20" s="184"/>
      <c r="L20" s="96"/>
      <c r="M20" s="255"/>
      <c r="N20" s="42"/>
      <c r="O20" s="288"/>
      <c r="Q20" s="268"/>
    </row>
    <row r="21" spans="1:17" x14ac:dyDescent="0.2">
      <c r="A21" s="112" t="str">
        <f>+' VNR'!B15</f>
        <v>CXTR Reductor 60/80/100 MVA</v>
      </c>
      <c r="B21" s="23" t="s">
        <v>97</v>
      </c>
      <c r="C21" s="62">
        <f>+'CX cxj Año1 '!C21</f>
        <v>5462.0117602370328</v>
      </c>
      <c r="D21" s="23">
        <f>+'CX cxj Año1 '!D21</f>
        <v>200</v>
      </c>
      <c r="E21" s="62">
        <f t="shared" ref="E21:E26" si="10">+C21/D21</f>
        <v>27.310058801185164</v>
      </c>
      <c r="F21" s="23">
        <f t="shared" si="1"/>
        <v>0.51069809958216261</v>
      </c>
      <c r="G21" s="63">
        <f t="shared" si="2"/>
        <v>0.36049277617564418</v>
      </c>
      <c r="H21" s="23">
        <f t="shared" si="3"/>
        <v>0.91177041595744057</v>
      </c>
      <c r="I21" s="88">
        <f t="shared" si="4"/>
        <v>1.9936342924865169</v>
      </c>
      <c r="J21" s="61"/>
      <c r="K21" s="185">
        <f>+G21+F21+H21+I21</f>
        <v>3.7765955842017642</v>
      </c>
      <c r="L21" s="96"/>
      <c r="M21" s="255">
        <f t="shared" si="6"/>
        <v>1.93</v>
      </c>
      <c r="N21" s="42"/>
      <c r="O21" s="288">
        <v>12</v>
      </c>
      <c r="Q21" s="268">
        <f t="shared" ref="Q21:Q24" si="11">+M21*D21/12*O21</f>
        <v>386</v>
      </c>
    </row>
    <row r="22" spans="1:17" x14ac:dyDescent="0.2">
      <c r="A22" s="113" t="s">
        <v>5</v>
      </c>
      <c r="B22" s="23" t="s">
        <v>97</v>
      </c>
      <c r="C22" s="62">
        <f>+'CX cxj Año1 '!C22</f>
        <v>5259.3836863563238</v>
      </c>
      <c r="D22" s="23">
        <f>+'CX cxj Año1 '!D22</f>
        <v>140</v>
      </c>
      <c r="E22" s="62">
        <f t="shared" si="10"/>
        <v>37.567026331116601</v>
      </c>
      <c r="F22" s="23">
        <f t="shared" si="1"/>
        <v>0.70250339239188053</v>
      </c>
      <c r="G22" s="63">
        <f t="shared" si="2"/>
        <v>0.49588474757073914</v>
      </c>
      <c r="H22" s="23">
        <f t="shared" si="3"/>
        <v>1.2542083293764223</v>
      </c>
      <c r="I22" s="88">
        <f t="shared" si="4"/>
        <v>2.7423929221715118</v>
      </c>
      <c r="J22" s="61"/>
      <c r="K22" s="185">
        <f>+G22+F22+H22+I22</f>
        <v>5.1949893915105534</v>
      </c>
      <c r="L22" s="96"/>
      <c r="M22" s="255">
        <f t="shared" si="6"/>
        <v>2.65</v>
      </c>
      <c r="N22" s="42"/>
      <c r="O22" s="288">
        <v>12</v>
      </c>
      <c r="Q22" s="268">
        <f t="shared" si="11"/>
        <v>371</v>
      </c>
    </row>
    <row r="23" spans="1:17" x14ac:dyDescent="0.2">
      <c r="A23" s="113" t="s">
        <v>6</v>
      </c>
      <c r="B23" s="23" t="s">
        <v>97</v>
      </c>
      <c r="C23" s="62">
        <f>+'CX cxj Año1 '!C23</f>
        <v>4033.9847072919238</v>
      </c>
      <c r="D23" s="23">
        <f>+'CX cxj Año1 '!D23</f>
        <v>200</v>
      </c>
      <c r="E23" s="62">
        <f t="shared" si="10"/>
        <v>20.169923536459621</v>
      </c>
      <c r="F23" s="23">
        <f t="shared" si="1"/>
        <v>0.37717757013179493</v>
      </c>
      <c r="G23" s="63">
        <f t="shared" si="2"/>
        <v>0.266242990681267</v>
      </c>
      <c r="H23" s="23">
        <f t="shared" si="3"/>
        <v>0.67339069851689526</v>
      </c>
      <c r="I23" s="88">
        <f t="shared" si="4"/>
        <v>1.4724044181615521</v>
      </c>
      <c r="J23" s="61"/>
      <c r="K23" s="99">
        <f>+G23+F23+H23+I23</f>
        <v>2.7892156774915091</v>
      </c>
      <c r="L23" s="96"/>
      <c r="M23" s="255">
        <f t="shared" si="6"/>
        <v>1.42</v>
      </c>
      <c r="N23" s="42"/>
      <c r="O23" s="288">
        <v>12</v>
      </c>
      <c r="Q23" s="268">
        <f t="shared" si="11"/>
        <v>284</v>
      </c>
    </row>
    <row r="24" spans="1:17" x14ac:dyDescent="0.2">
      <c r="A24" s="272" t="s">
        <v>7</v>
      </c>
      <c r="B24" s="23" t="s">
        <v>97</v>
      </c>
      <c r="C24" s="62">
        <f>+'CX cxj Año1 '!C24</f>
        <v>0</v>
      </c>
      <c r="D24" s="23">
        <f>+'CX cxj Año1 '!D24</f>
        <v>24</v>
      </c>
      <c r="E24" s="62">
        <f t="shared" si="10"/>
        <v>0</v>
      </c>
      <c r="F24" s="23">
        <f t="shared" si="1"/>
        <v>0</v>
      </c>
      <c r="G24" s="63">
        <f t="shared" si="2"/>
        <v>0</v>
      </c>
      <c r="H24" s="23">
        <f t="shared" si="3"/>
        <v>0</v>
      </c>
      <c r="I24" s="88">
        <f t="shared" si="4"/>
        <v>0</v>
      </c>
      <c r="J24" s="61"/>
      <c r="K24" s="99">
        <f>+G24+F24+H24+I24</f>
        <v>0</v>
      </c>
      <c r="L24" s="96"/>
      <c r="M24" s="255">
        <f>ROUND(+K24*$L$10,2)</f>
        <v>0</v>
      </c>
      <c r="N24" s="42"/>
      <c r="O24" s="288">
        <v>12</v>
      </c>
      <c r="P24" s="29"/>
      <c r="Q24" s="268">
        <f t="shared" si="11"/>
        <v>0</v>
      </c>
    </row>
    <row r="25" spans="1:17" x14ac:dyDescent="0.2">
      <c r="A25" s="107" t="s">
        <v>8</v>
      </c>
      <c r="B25" s="186" t="s">
        <v>11</v>
      </c>
      <c r="C25" s="62">
        <f>+'CX cxj Año1 '!C25+' VNR'!F50/2+' VNR'!L50/2</f>
        <v>0</v>
      </c>
      <c r="D25" s="23">
        <f>+'CX cxj Año1 '!D25</f>
        <v>0</v>
      </c>
      <c r="E25" s="62"/>
      <c r="F25" s="23"/>
      <c r="G25" s="63"/>
      <c r="H25" s="23"/>
      <c r="I25" s="88"/>
      <c r="J25" s="61"/>
      <c r="K25" s="99"/>
      <c r="L25" s="96"/>
      <c r="M25" s="97"/>
      <c r="N25" s="42"/>
      <c r="O25" s="290"/>
      <c r="P25" s="29"/>
      <c r="Q25" s="268"/>
    </row>
    <row r="26" spans="1:17" x14ac:dyDescent="0.2">
      <c r="A26" s="89" t="s">
        <v>135</v>
      </c>
      <c r="B26" s="23" t="str">
        <f>+[8]VNR2004!B21</f>
        <v>Miles B/./km</v>
      </c>
      <c r="C26" s="62">
        <f>+'CX cxj Año1 '!C26</f>
        <v>7309.3232731987555</v>
      </c>
      <c r="D26" s="23">
        <f>+'CX cxj Año1 '!D26</f>
        <v>38.299999999999997</v>
      </c>
      <c r="E26" s="62">
        <f t="shared" si="10"/>
        <v>190.84394969187352</v>
      </c>
      <c r="F26" s="23">
        <f t="shared" si="1"/>
        <v>3.5687818592380349</v>
      </c>
      <c r="G26" s="63">
        <f t="shared" si="2"/>
        <v>2.5191401359327306</v>
      </c>
      <c r="H26" s="23">
        <f t="shared" si="3"/>
        <v>6.3714936924987189</v>
      </c>
      <c r="I26" s="88">
        <f t="shared" si="4"/>
        <v>13.931608327506765</v>
      </c>
      <c r="J26" s="61"/>
      <c r="K26" s="95">
        <f t="shared" ref="K26" si="12">+F26+G26+H26+I26</f>
        <v>26.391024015176249</v>
      </c>
      <c r="L26" s="96"/>
      <c r="M26" s="97">
        <f>ROUND(+K26*$L$10,2)</f>
        <v>13.45</v>
      </c>
      <c r="N26" s="42"/>
      <c r="O26" s="288">
        <v>12</v>
      </c>
      <c r="P26" s="29"/>
      <c r="Q26" s="268">
        <f t="shared" ref="Q26" si="13">+M26*D26/12*O26</f>
        <v>515.13499999999999</v>
      </c>
    </row>
    <row r="27" spans="1:17" x14ac:dyDescent="0.2">
      <c r="A27" s="89" t="s">
        <v>139</v>
      </c>
      <c r="B27" s="23" t="str">
        <f>+[8]VNR2004!B22</f>
        <v>Miles B/./km</v>
      </c>
      <c r="C27" s="62"/>
      <c r="D27" s="23"/>
      <c r="E27" s="62"/>
      <c r="F27" s="23"/>
      <c r="G27" s="63"/>
      <c r="H27" s="23"/>
      <c r="I27" s="88"/>
      <c r="J27" s="61"/>
      <c r="K27" s="95"/>
      <c r="L27" s="96"/>
      <c r="M27" s="98" t="s">
        <v>128</v>
      </c>
      <c r="N27" s="281"/>
      <c r="O27" s="281"/>
      <c r="P27" s="29"/>
      <c r="Q27" s="268">
        <f>+' VNR'!O23</f>
        <v>0</v>
      </c>
    </row>
    <row r="28" spans="1:17" x14ac:dyDescent="0.2">
      <c r="A28" s="89" t="s">
        <v>93</v>
      </c>
      <c r="B28" s="23" t="str">
        <f>+[8]VNR2004!B23</f>
        <v>Miles B/./km</v>
      </c>
      <c r="C28" s="62"/>
      <c r="D28" s="23"/>
      <c r="E28" s="62"/>
      <c r="F28" s="23"/>
      <c r="G28" s="63"/>
      <c r="H28" s="23"/>
      <c r="I28" s="88"/>
      <c r="J28" s="61"/>
      <c r="K28" s="95"/>
      <c r="L28" s="96"/>
      <c r="M28" s="98" t="s">
        <v>128</v>
      </c>
      <c r="N28" s="281"/>
      <c r="O28" s="281"/>
      <c r="Q28" s="268">
        <f>+' VNR'!O24</f>
        <v>0</v>
      </c>
    </row>
    <row r="29" spans="1:17" x14ac:dyDescent="0.2">
      <c r="A29" s="89" t="s">
        <v>134</v>
      </c>
      <c r="B29" s="23" t="str">
        <f>+[8]VNR2004!B24</f>
        <v>Miles B/./km</v>
      </c>
      <c r="C29" s="62"/>
      <c r="D29" s="83"/>
      <c r="E29" s="125"/>
      <c r="F29" s="23"/>
      <c r="G29" s="63"/>
      <c r="H29" s="23"/>
      <c r="I29" s="88"/>
      <c r="J29" s="61"/>
      <c r="K29" s="95"/>
      <c r="L29" s="100"/>
      <c r="M29" s="98" t="s">
        <v>128</v>
      </c>
      <c r="N29" s="281"/>
      <c r="O29" s="281"/>
      <c r="Q29" s="269">
        <f>+' VNR'!R10</f>
        <v>0</v>
      </c>
    </row>
    <row r="30" spans="1:17" x14ac:dyDescent="0.2">
      <c r="A30" s="89" t="s">
        <v>138</v>
      </c>
      <c r="B30" s="59" t="s">
        <v>136</v>
      </c>
      <c r="C30" s="62"/>
      <c r="D30" s="265"/>
      <c r="E30" s="125"/>
      <c r="F30" s="83"/>
      <c r="G30" s="84"/>
      <c r="H30" s="83"/>
      <c r="I30" s="90"/>
      <c r="J30" s="61"/>
      <c r="K30" s="101"/>
      <c r="L30" s="100"/>
      <c r="M30" s="98" t="s">
        <v>128</v>
      </c>
      <c r="N30" s="281"/>
      <c r="O30" s="281"/>
      <c r="Q30" s="269">
        <f>+' VNR'!R11</f>
        <v>0</v>
      </c>
    </row>
    <row r="31" spans="1:17" ht="18" x14ac:dyDescent="0.25">
      <c r="A31" s="1576" t="s">
        <v>137</v>
      </c>
      <c r="B31" s="59" t="str">
        <f>+[8]VNR2004!B24</f>
        <v>Miles B/./km</v>
      </c>
      <c r="C31" s="62"/>
      <c r="D31" s="265"/>
      <c r="E31" s="125"/>
      <c r="F31" s="83"/>
      <c r="G31" s="84"/>
      <c r="H31" s="83"/>
      <c r="I31" s="90"/>
      <c r="J31" s="61"/>
      <c r="K31" s="101"/>
      <c r="L31" s="100"/>
      <c r="M31" s="98" t="s">
        <v>128</v>
      </c>
      <c r="N31" s="287"/>
      <c r="O31" s="295"/>
      <c r="Q31" s="269">
        <f>+' VNR'!O27</f>
        <v>0</v>
      </c>
    </row>
    <row r="32" spans="1:17" ht="18.75" thickBot="1" x14ac:dyDescent="0.3">
      <c r="A32" s="1577" t="s">
        <v>881</v>
      </c>
      <c r="B32" s="1568" t="s">
        <v>136</v>
      </c>
      <c r="C32" s="1561">
        <f>+' VNR'!G81</f>
        <v>54749</v>
      </c>
      <c r="D32" s="91">
        <f>+' VNR'!E83</f>
        <v>96.7</v>
      </c>
      <c r="E32" s="1569">
        <f t="shared" ref="E32" si="14">+C32/D32</f>
        <v>566.17373319544981</v>
      </c>
      <c r="F32" s="91">
        <f t="shared" ref="F32" si="15">$E32*$F$10</f>
        <v>10.587448810754912</v>
      </c>
      <c r="G32" s="92">
        <f t="shared" ref="G32" si="16">+$E32*$G$10</f>
        <v>7.4734932781799372</v>
      </c>
      <c r="H32" s="91">
        <f t="shared" ref="H32" si="17">$E32*$H$10</f>
        <v>18.902209767391277</v>
      </c>
      <c r="I32" s="93">
        <f t="shared" ref="I32" si="18">$E32*$I$10</f>
        <v>41.330682523267832</v>
      </c>
      <c r="J32" s="61"/>
      <c r="K32" s="102">
        <f t="shared" ref="K32" si="19">+F32+G32+H32+I32</f>
        <v>78.29383437959396</v>
      </c>
      <c r="L32" s="103"/>
      <c r="M32" s="104">
        <f>ROUND(+K32*$L$10,2)</f>
        <v>39.909999999999997</v>
      </c>
      <c r="N32" s="287"/>
      <c r="O32" s="295">
        <v>12</v>
      </c>
      <c r="Q32" s="270">
        <f t="shared" ref="Q32" si="20">+M32*D32/12*O32</f>
        <v>3859.2969999999996</v>
      </c>
    </row>
    <row r="33" spans="1:17" x14ac:dyDescent="0.2">
      <c r="A33" s="75"/>
      <c r="B33" s="279"/>
      <c r="C33" s="279">
        <f>SUM(C12:C32)</f>
        <v>177143.09652639035</v>
      </c>
      <c r="D33" s="279">
        <f>SUM(D12:D32)</f>
        <v>730.5</v>
      </c>
      <c r="E33" s="279"/>
      <c r="F33" s="279"/>
      <c r="G33" s="280"/>
      <c r="H33" s="279"/>
      <c r="I33" s="279"/>
      <c r="K33" s="280"/>
      <c r="L33" s="24"/>
      <c r="M33" s="281"/>
      <c r="N33" s="281"/>
      <c r="O33" s="281"/>
      <c r="Q33" s="279"/>
    </row>
    <row r="34" spans="1:17" x14ac:dyDescent="0.2">
      <c r="A34" s="75"/>
      <c r="C34" s="34"/>
      <c r="N34" s="281"/>
      <c r="P34" t="s">
        <v>12</v>
      </c>
      <c r="Q34" s="34">
        <f>SUM(Q12:Q32)</f>
        <v>12488.366999999998</v>
      </c>
    </row>
    <row r="37" spans="1:17" x14ac:dyDescent="0.2">
      <c r="Q37" s="34">
        <f>+Q34+Q26</f>
        <v>13003.501999999999</v>
      </c>
    </row>
  </sheetData>
  <mergeCells count="18">
    <mergeCell ref="L8:L9"/>
    <mergeCell ref="M8:M9"/>
    <mergeCell ref="Q8:Q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Q38"/>
  <sheetViews>
    <sheetView zoomScale="70" zoomScaleNormal="70" workbookViewId="0">
      <selection activeCell="C35" sqref="C35"/>
    </sheetView>
  </sheetViews>
  <sheetFormatPr baseColWidth="10" defaultColWidth="11.42578125" defaultRowHeight="12.75" x14ac:dyDescent="0.2"/>
  <cols>
    <col min="1" max="1" width="38.42578125" customWidth="1"/>
    <col min="2" max="2" width="17.85546875" customWidth="1"/>
    <col min="3" max="3" width="14.42578125" customWidth="1"/>
    <col min="4" max="4" width="13.42578125" customWidth="1"/>
    <col min="5" max="5" width="11.85546875" customWidth="1"/>
    <col min="7" max="7" width="12.85546875" customWidth="1"/>
    <col min="8" max="8" width="11.28515625" customWidth="1"/>
    <col min="9" max="9" width="17.5703125" customWidth="1"/>
    <col min="10" max="10" width="11.85546875" customWidth="1"/>
    <col min="11" max="11" width="23.28515625" customWidth="1"/>
  </cols>
  <sheetData>
    <row r="1" spans="1:17" ht="18" x14ac:dyDescent="0.25">
      <c r="A1" s="1587" t="s">
        <v>13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7" ht="39.6" customHeight="1" thickBot="1" x14ac:dyDescent="0.25">
      <c r="A2" s="1612" t="s">
        <v>23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</row>
    <row r="3" spans="1:17" ht="27.6" customHeight="1" x14ac:dyDescent="0.2">
      <c r="A3" s="1613" t="s">
        <v>25</v>
      </c>
      <c r="B3" s="1614"/>
      <c r="C3" s="1614"/>
      <c r="D3" s="1614"/>
      <c r="E3" s="1621" t="s">
        <v>78</v>
      </c>
      <c r="F3" s="1622"/>
      <c r="G3" s="1622"/>
      <c r="H3" s="1622"/>
      <c r="I3" s="1622"/>
      <c r="J3" s="1622"/>
      <c r="K3" s="1623"/>
    </row>
    <row r="4" spans="1:17" ht="27.6" customHeight="1" thickBot="1" x14ac:dyDescent="0.25">
      <c r="A4" s="1615"/>
      <c r="B4" s="1616"/>
      <c r="C4" s="1616"/>
      <c r="D4" s="1616"/>
      <c r="E4" s="21"/>
      <c r="K4" s="27"/>
    </row>
    <row r="5" spans="1:17" ht="27.6" customHeight="1" x14ac:dyDescent="0.2">
      <c r="A5" s="1615"/>
      <c r="B5" s="1616"/>
      <c r="C5" s="1616"/>
      <c r="D5" s="1616"/>
      <c r="E5" s="1621" t="s">
        <v>79</v>
      </c>
      <c r="F5" s="1622"/>
      <c r="G5" s="1622"/>
      <c r="H5" s="1622"/>
      <c r="I5" s="1622"/>
      <c r="J5" s="1622"/>
      <c r="K5" s="1623"/>
    </row>
    <row r="6" spans="1:17" ht="27.6" customHeight="1" thickBot="1" x14ac:dyDescent="0.25">
      <c r="A6" s="1617"/>
      <c r="B6" s="1618"/>
      <c r="C6" s="1618"/>
      <c r="D6" s="1618"/>
      <c r="E6" s="28"/>
      <c r="F6" s="25"/>
      <c r="G6" s="25"/>
      <c r="H6" s="25"/>
      <c r="I6" s="25"/>
      <c r="J6" s="25"/>
      <c r="K6" s="26"/>
    </row>
    <row r="7" spans="1:17" ht="18" customHeight="1" thickBot="1" x14ac:dyDescent="0.25">
      <c r="A7" s="57"/>
      <c r="B7" s="57"/>
      <c r="C7" s="57"/>
      <c r="D7" s="57"/>
      <c r="H7" s="25"/>
    </row>
    <row r="8" spans="1:17" ht="26.45" customHeight="1" x14ac:dyDescent="0.2">
      <c r="A8" s="1611" t="s">
        <v>24</v>
      </c>
      <c r="B8" s="1611" t="s">
        <v>17</v>
      </c>
      <c r="C8" s="1606" t="s">
        <v>1</v>
      </c>
      <c r="D8" s="1606" t="s">
        <v>173</v>
      </c>
      <c r="E8" s="1619" t="s">
        <v>85</v>
      </c>
      <c r="F8" s="1620" t="s">
        <v>131</v>
      </c>
      <c r="G8" s="1620" t="s">
        <v>132</v>
      </c>
      <c r="H8" s="1620" t="s">
        <v>133</v>
      </c>
      <c r="I8" s="1620" t="s">
        <v>76</v>
      </c>
      <c r="J8" s="76"/>
      <c r="K8" s="1611" t="s">
        <v>77</v>
      </c>
      <c r="L8" s="1610" t="s">
        <v>74</v>
      </c>
      <c r="M8" s="1611" t="s">
        <v>130</v>
      </c>
      <c r="N8" s="291"/>
      <c r="O8" s="282" t="s">
        <v>183</v>
      </c>
      <c r="Q8" s="1608" t="s">
        <v>175</v>
      </c>
    </row>
    <row r="9" spans="1:17" ht="16.899999999999999" customHeight="1" x14ac:dyDescent="0.2">
      <c r="A9" s="1611"/>
      <c r="B9" s="1611"/>
      <c r="C9" s="1607"/>
      <c r="D9" s="1607"/>
      <c r="E9" s="1619"/>
      <c r="F9" s="1620"/>
      <c r="G9" s="1620"/>
      <c r="H9" s="1620"/>
      <c r="I9" s="1620"/>
      <c r="J9" s="77"/>
      <c r="K9" s="1611"/>
      <c r="L9" s="1610"/>
      <c r="M9" s="1611"/>
      <c r="N9" s="291"/>
      <c r="O9" s="282"/>
      <c r="Q9" s="1609"/>
    </row>
    <row r="10" spans="1:17" ht="18.75" customHeight="1" x14ac:dyDescent="0.25">
      <c r="A10" s="82" t="s">
        <v>15</v>
      </c>
      <c r="B10" s="80"/>
      <c r="C10" s="263"/>
      <c r="D10" s="80"/>
      <c r="E10" s="264"/>
      <c r="F10" s="126">
        <f>+'CX cxj Año2'!F10</f>
        <v>1.8700000000000001E-2</v>
      </c>
      <c r="G10" s="126">
        <f>+'CX cxj Año2'!G10</f>
        <v>1.32E-2</v>
      </c>
      <c r="H10" s="1126">
        <f>+'CX cxj Año2'!H10</f>
        <v>3.3385882564188139E-2</v>
      </c>
      <c r="I10" s="126">
        <f>+'CX cxj Año2'!I10</f>
        <v>7.2999999999999995E-2</v>
      </c>
      <c r="J10" s="127"/>
      <c r="K10" s="81"/>
      <c r="L10" s="183">
        <f>+'CX cxj Año1 '!L10</f>
        <v>0.50979655790306455</v>
      </c>
      <c r="M10" s="81"/>
      <c r="N10" s="292"/>
      <c r="O10" s="283"/>
      <c r="Q10" s="266"/>
    </row>
    <row r="11" spans="1:17" x14ac:dyDescent="0.2">
      <c r="A11" s="85" t="s">
        <v>3</v>
      </c>
      <c r="B11" s="73"/>
      <c r="C11" s="78"/>
      <c r="D11" s="73"/>
      <c r="E11" s="78"/>
      <c r="F11" s="79"/>
      <c r="G11" s="60"/>
      <c r="H11" s="79"/>
      <c r="I11" s="86"/>
      <c r="J11" s="60"/>
      <c r="K11" s="94"/>
      <c r="L11" s="79"/>
      <c r="M11" s="86"/>
      <c r="Q11" s="267"/>
    </row>
    <row r="12" spans="1:17" x14ac:dyDescent="0.2">
      <c r="A12" s="1544" t="s">
        <v>86</v>
      </c>
      <c r="B12" s="23" t="str">
        <f>+[8]VNR2004!B8</f>
        <v>Miles B/./Salida</v>
      </c>
      <c r="C12" s="1555">
        <f>+'CX cxj Año2'!C12</f>
        <v>9738.4810921140579</v>
      </c>
      <c r="D12" s="23">
        <f>+' VNR'!D5+' VNR'!D34</f>
        <v>4</v>
      </c>
      <c r="E12" s="62">
        <f>+C12/D12</f>
        <v>2434.6202730285145</v>
      </c>
      <c r="F12" s="23">
        <f>$E12*$F$10</f>
        <v>45.527399105633222</v>
      </c>
      <c r="G12" s="63">
        <f>+$E12*$G$10</f>
        <v>32.136987603976394</v>
      </c>
      <c r="H12" s="23">
        <f>$E12*$H$10</f>
        <v>81.281946523721643</v>
      </c>
      <c r="I12" s="88">
        <f>$E12*$I$10</f>
        <v>177.72727993108154</v>
      </c>
      <c r="J12" s="61"/>
      <c r="K12" s="95">
        <f>+F12+G12+H12+I12</f>
        <v>336.67361316441281</v>
      </c>
      <c r="L12" s="96"/>
      <c r="M12" s="255">
        <f>ROUND(+K12*$L$10,2)</f>
        <v>171.64</v>
      </c>
      <c r="N12" s="42"/>
      <c r="O12" s="288">
        <v>12</v>
      </c>
      <c r="P12" s="111"/>
      <c r="Q12" s="268">
        <f>+M12*D12/12*O12</f>
        <v>686.56</v>
      </c>
    </row>
    <row r="13" spans="1:17" x14ac:dyDescent="0.2">
      <c r="A13" s="87" t="s">
        <v>87</v>
      </c>
      <c r="B13" s="23" t="str">
        <f>+[8]VNR2004!B9</f>
        <v>Miles B/./Salida</v>
      </c>
      <c r="C13" s="62">
        <f>+'CX cxj Año2'!C13</f>
        <v>38660.98630077891</v>
      </c>
      <c r="D13" s="23">
        <f>+' VNR'!D6</f>
        <v>13</v>
      </c>
      <c r="E13" s="62">
        <f t="shared" ref="E13:E15" si="0">+C13/D13</f>
        <v>2973.922023136839</v>
      </c>
      <c r="F13" s="23">
        <f t="shared" ref="F13:F26" si="1">$E13*$F$10</f>
        <v>55.612341832658892</v>
      </c>
      <c r="G13" s="63">
        <f t="shared" ref="G13:G26" si="2">+$E13*$G$10</f>
        <v>39.255770705406277</v>
      </c>
      <c r="H13" s="23">
        <f t="shared" ref="H13:H26" si="3">$E13*$H$10</f>
        <v>99.287011419499308</v>
      </c>
      <c r="I13" s="88">
        <f t="shared" ref="I13:I26" si="4">$E13*$I$10</f>
        <v>217.09630768898924</v>
      </c>
      <c r="J13" s="61"/>
      <c r="K13" s="95">
        <f t="shared" ref="K13:K19" si="5">+F13+G13+H13+I13</f>
        <v>411.25143164655367</v>
      </c>
      <c r="L13" s="96"/>
      <c r="M13" s="255">
        <f t="shared" ref="M13:M23" si="6">ROUND(+K13*$L$10,2)</f>
        <v>209.65</v>
      </c>
      <c r="N13" s="42"/>
      <c r="O13" s="288">
        <v>12</v>
      </c>
      <c r="Q13" s="268">
        <f t="shared" ref="Q13:Q16" si="7">+M13*D13/12*O13</f>
        <v>2725.4500000000003</v>
      </c>
    </row>
    <row r="14" spans="1:17" x14ac:dyDescent="0.2">
      <c r="A14" s="87" t="s">
        <v>88</v>
      </c>
      <c r="B14" s="23" t="str">
        <f>+[8]VNR2004!B10</f>
        <v>Miles B/./Salida</v>
      </c>
      <c r="C14" s="62">
        <f>+'CX cxj Año2'!C14</f>
        <v>2158.3127379330022</v>
      </c>
      <c r="D14" s="23">
        <f>+' VNR'!D7</f>
        <v>3</v>
      </c>
      <c r="E14" s="62">
        <f t="shared" si="0"/>
        <v>719.43757931100072</v>
      </c>
      <c r="F14" s="23">
        <f t="shared" si="1"/>
        <v>13.453482733115715</v>
      </c>
      <c r="G14" s="63">
        <f t="shared" si="2"/>
        <v>9.4965760469052096</v>
      </c>
      <c r="H14" s="23">
        <f t="shared" si="3"/>
        <v>24.019058535140861</v>
      </c>
      <c r="I14" s="88">
        <f t="shared" si="4"/>
        <v>52.518943289703046</v>
      </c>
      <c r="J14" s="61"/>
      <c r="K14" s="95">
        <f t="shared" si="5"/>
        <v>99.488060604864827</v>
      </c>
      <c r="L14" s="96"/>
      <c r="M14" s="255">
        <f t="shared" si="6"/>
        <v>50.72</v>
      </c>
      <c r="N14" s="42"/>
      <c r="O14" s="288">
        <v>12</v>
      </c>
      <c r="Q14" s="268">
        <f t="shared" si="7"/>
        <v>152.16</v>
      </c>
    </row>
    <row r="15" spans="1:17" x14ac:dyDescent="0.2">
      <c r="A15" s="87" t="s">
        <v>89</v>
      </c>
      <c r="B15" s="23" t="str">
        <f>+[8]VNR2004!B11</f>
        <v>Miles B/./Salida</v>
      </c>
      <c r="C15" s="62">
        <f>+'CX cxj Año2'!C15</f>
        <v>9091.9350774996201</v>
      </c>
      <c r="D15" s="23">
        <f>+' VNR'!D8</f>
        <v>3</v>
      </c>
      <c r="E15" s="62">
        <f t="shared" si="0"/>
        <v>3030.6450258332065</v>
      </c>
      <c r="F15" s="23">
        <f t="shared" si="1"/>
        <v>56.673061983080963</v>
      </c>
      <c r="G15" s="63">
        <f t="shared" si="2"/>
        <v>40.004514340998327</v>
      </c>
      <c r="H15" s="23">
        <f t="shared" si="3"/>
        <v>101.18075892620837</v>
      </c>
      <c r="I15" s="88">
        <f t="shared" si="4"/>
        <v>221.23708688582406</v>
      </c>
      <c r="J15" s="61"/>
      <c r="K15" s="95">
        <f t="shared" si="5"/>
        <v>419.09542213611172</v>
      </c>
      <c r="L15" s="96"/>
      <c r="M15" s="255">
        <f t="shared" si="6"/>
        <v>213.65</v>
      </c>
      <c r="N15" s="42"/>
      <c r="O15" s="288">
        <v>12</v>
      </c>
      <c r="Q15" s="268">
        <f t="shared" si="7"/>
        <v>640.95000000000005</v>
      </c>
    </row>
    <row r="16" spans="1:17" x14ac:dyDescent="0.2">
      <c r="A16" s="87" t="s">
        <v>98</v>
      </c>
      <c r="B16" s="59" t="s">
        <v>68</v>
      </c>
      <c r="C16" s="62">
        <f>+'CX cxj Año2'!C16</f>
        <v>0</v>
      </c>
      <c r="D16" s="23">
        <f>+' VNR'!D9</f>
        <v>0</v>
      </c>
      <c r="E16" s="62">
        <f>+' VNR'!E9</f>
        <v>0</v>
      </c>
      <c r="F16" s="23">
        <f t="shared" si="1"/>
        <v>0</v>
      </c>
      <c r="G16" s="63">
        <f t="shared" si="2"/>
        <v>0</v>
      </c>
      <c r="H16" s="23">
        <f t="shared" si="3"/>
        <v>0</v>
      </c>
      <c r="I16" s="88">
        <f t="shared" si="4"/>
        <v>0</v>
      </c>
      <c r="J16" s="61"/>
      <c r="K16" s="95">
        <f t="shared" ref="K16:K17" si="8">+F16+G16+H16+I16</f>
        <v>0</v>
      </c>
      <c r="L16" s="96"/>
      <c r="M16" s="255">
        <f t="shared" ref="M16:M17" si="9">ROUND(+K16*$L$10,2)</f>
        <v>0</v>
      </c>
      <c r="N16" s="281"/>
      <c r="O16" s="289"/>
      <c r="Q16" s="268">
        <f t="shared" si="7"/>
        <v>0</v>
      </c>
    </row>
    <row r="17" spans="1:17" x14ac:dyDescent="0.2">
      <c r="A17" s="87" t="s">
        <v>99</v>
      </c>
      <c r="B17" s="23" t="str">
        <f>+[8]VNR2004!B13</f>
        <v>Miles B/./Salida</v>
      </c>
      <c r="C17" s="62">
        <f>+'CX cxj Año2'!C17</f>
        <v>0</v>
      </c>
      <c r="D17" s="23"/>
      <c r="E17" s="62"/>
      <c r="F17" s="23">
        <f t="shared" si="1"/>
        <v>0</v>
      </c>
      <c r="G17" s="63">
        <f t="shared" si="2"/>
        <v>0</v>
      </c>
      <c r="H17" s="23">
        <f t="shared" si="3"/>
        <v>0</v>
      </c>
      <c r="I17" s="88">
        <f t="shared" si="4"/>
        <v>0</v>
      </c>
      <c r="J17" s="61"/>
      <c r="K17" s="95">
        <f t="shared" si="8"/>
        <v>0</v>
      </c>
      <c r="L17" s="96"/>
      <c r="M17" s="255">
        <f t="shared" si="9"/>
        <v>0</v>
      </c>
      <c r="N17" s="281"/>
      <c r="O17" s="289"/>
      <c r="Q17" s="268"/>
    </row>
    <row r="18" spans="1:17" x14ac:dyDescent="0.2">
      <c r="A18" s="1545" t="s">
        <v>90</v>
      </c>
      <c r="B18" s="59" t="s">
        <v>68</v>
      </c>
      <c r="C18" s="1578">
        <f>+' VNR'!C11+' VNR'!C41+' VNR'!L41+' VNR'!R41/2</f>
        <v>47465.177890980718</v>
      </c>
      <c r="D18" s="23">
        <f>+' VNR'!D11+' VNR'!D41+' VNR'!M41+' VNR'!S41/2</f>
        <v>9.5</v>
      </c>
      <c r="E18" s="62">
        <f>+C18/D18</f>
        <v>4996.3345148400758</v>
      </c>
      <c r="F18" s="23">
        <f>$E18*$F$10</f>
        <v>93.43145542750942</v>
      </c>
      <c r="G18" s="63">
        <f t="shared" si="2"/>
        <v>65.951615595888995</v>
      </c>
      <c r="H18" s="23">
        <f t="shared" si="3"/>
        <v>166.8070373638507</v>
      </c>
      <c r="I18" s="88">
        <f t="shared" si="4"/>
        <v>364.73241958332551</v>
      </c>
      <c r="J18" s="61"/>
      <c r="K18" s="184">
        <f>+F18+G18+H18+I18</f>
        <v>690.92252797057461</v>
      </c>
      <c r="L18" s="96"/>
      <c r="M18" s="255">
        <f>ROUND(+K18*$L$10,2)</f>
        <v>352.23</v>
      </c>
      <c r="N18" s="42"/>
      <c r="O18" s="288">
        <v>12</v>
      </c>
      <c r="Q18" s="268">
        <f t="shared" ref="Q18:Q19" si="10">+M18*D18/12*O18</f>
        <v>3346.1850000000004</v>
      </c>
    </row>
    <row r="19" spans="1:17" x14ac:dyDescent="0.2">
      <c r="A19" s="187" t="s">
        <v>168</v>
      </c>
      <c r="B19" s="59" t="s">
        <v>68</v>
      </c>
      <c r="C19" s="62">
        <v>0</v>
      </c>
      <c r="D19" s="23">
        <v>0</v>
      </c>
      <c r="E19" s="62">
        <v>0</v>
      </c>
      <c r="F19" s="23">
        <f t="shared" si="1"/>
        <v>0</v>
      </c>
      <c r="G19" s="63">
        <f t="shared" si="2"/>
        <v>0</v>
      </c>
      <c r="H19" s="23">
        <f t="shared" si="3"/>
        <v>0</v>
      </c>
      <c r="I19" s="88">
        <f t="shared" si="4"/>
        <v>0</v>
      </c>
      <c r="J19" s="61"/>
      <c r="K19" s="184">
        <f t="shared" si="5"/>
        <v>0</v>
      </c>
      <c r="L19" s="96"/>
      <c r="M19" s="255">
        <f>ROUND(+K19*$L$10,2)</f>
        <v>0</v>
      </c>
      <c r="N19" s="42"/>
      <c r="O19" s="288">
        <v>12</v>
      </c>
      <c r="Q19" s="268">
        <f t="shared" si="10"/>
        <v>0</v>
      </c>
    </row>
    <row r="20" spans="1:17" x14ac:dyDescent="0.2">
      <c r="A20" s="271" t="s">
        <v>4</v>
      </c>
      <c r="B20" s="23"/>
      <c r="C20" s="62"/>
      <c r="D20" s="23"/>
      <c r="E20" s="62"/>
      <c r="F20" s="23"/>
      <c r="G20" s="63"/>
      <c r="H20" s="23"/>
      <c r="I20" s="88"/>
      <c r="J20" s="61"/>
      <c r="K20" s="184"/>
      <c r="L20" s="96"/>
      <c r="M20" s="255"/>
      <c r="N20" s="42"/>
      <c r="O20" s="288"/>
      <c r="Q20" s="268"/>
    </row>
    <row r="21" spans="1:17" x14ac:dyDescent="0.2">
      <c r="A21" s="112" t="str">
        <f>+' VNR'!B15</f>
        <v>CXTR Reductor 60/80/100 MVA</v>
      </c>
      <c r="B21" s="23" t="s">
        <v>97</v>
      </c>
      <c r="C21" s="62">
        <f>+'CX cxj Año2'!C21</f>
        <v>5462.0117602370328</v>
      </c>
      <c r="D21" s="23">
        <f>+'CX cxj Año2'!D21</f>
        <v>200</v>
      </c>
      <c r="E21" s="62">
        <f t="shared" ref="E21" si="11">+C21/D21</f>
        <v>27.310058801185164</v>
      </c>
      <c r="F21" s="23">
        <f t="shared" si="1"/>
        <v>0.51069809958216261</v>
      </c>
      <c r="G21" s="63">
        <f t="shared" si="2"/>
        <v>0.36049277617564418</v>
      </c>
      <c r="H21" s="23">
        <f t="shared" si="3"/>
        <v>0.91177041595744057</v>
      </c>
      <c r="I21" s="88">
        <f t="shared" si="4"/>
        <v>1.9936342924865169</v>
      </c>
      <c r="J21" s="61"/>
      <c r="K21" s="185">
        <f>+G21+F21+H21+I21</f>
        <v>3.7765955842017642</v>
      </c>
      <c r="L21" s="96"/>
      <c r="M21" s="255">
        <f t="shared" si="6"/>
        <v>1.93</v>
      </c>
      <c r="N21" s="42"/>
      <c r="O21" s="288">
        <v>12</v>
      </c>
      <c r="Q21" s="268">
        <f t="shared" ref="Q21:Q24" si="12">+M21*D21/12*O21</f>
        <v>386</v>
      </c>
    </row>
    <row r="22" spans="1:17" x14ac:dyDescent="0.2">
      <c r="A22" s="113" t="s">
        <v>5</v>
      </c>
      <c r="B22" s="23" t="s">
        <v>97</v>
      </c>
      <c r="C22" s="62">
        <f>+'CX cxj Año2'!C22</f>
        <v>5259.3836863563238</v>
      </c>
      <c r="D22" s="23">
        <f>+'CX cxj Año2'!D22</f>
        <v>140</v>
      </c>
      <c r="E22" s="62">
        <f t="shared" ref="E22:E26" si="13">+C22/D22</f>
        <v>37.567026331116601</v>
      </c>
      <c r="F22" s="23">
        <f t="shared" si="1"/>
        <v>0.70250339239188053</v>
      </c>
      <c r="G22" s="63">
        <f t="shared" si="2"/>
        <v>0.49588474757073914</v>
      </c>
      <c r="H22" s="23">
        <f t="shared" si="3"/>
        <v>1.2542083293764223</v>
      </c>
      <c r="I22" s="88">
        <f t="shared" si="4"/>
        <v>2.7423929221715118</v>
      </c>
      <c r="J22" s="61"/>
      <c r="K22" s="185">
        <f>+G22+F22+H22+I22</f>
        <v>5.1949893915105534</v>
      </c>
      <c r="L22" s="96"/>
      <c r="M22" s="255">
        <f t="shared" si="6"/>
        <v>2.65</v>
      </c>
      <c r="N22" s="42"/>
      <c r="O22" s="288">
        <v>12</v>
      </c>
      <c r="Q22" s="268">
        <f t="shared" si="12"/>
        <v>371</v>
      </c>
    </row>
    <row r="23" spans="1:17" x14ac:dyDescent="0.2">
      <c r="A23" s="113" t="s">
        <v>6</v>
      </c>
      <c r="B23" s="23" t="s">
        <v>97</v>
      </c>
      <c r="C23" s="62">
        <f>+'CX cxj Año2'!C23</f>
        <v>4033.9847072919238</v>
      </c>
      <c r="D23" s="23">
        <f>+'CX cxj Año2'!D23</f>
        <v>200</v>
      </c>
      <c r="E23" s="62">
        <f t="shared" si="13"/>
        <v>20.169923536459621</v>
      </c>
      <c r="F23" s="23">
        <f t="shared" si="1"/>
        <v>0.37717757013179493</v>
      </c>
      <c r="G23" s="63">
        <f t="shared" si="2"/>
        <v>0.266242990681267</v>
      </c>
      <c r="H23" s="23">
        <f t="shared" si="3"/>
        <v>0.67339069851689526</v>
      </c>
      <c r="I23" s="88">
        <f t="shared" si="4"/>
        <v>1.4724044181615521</v>
      </c>
      <c r="J23" s="61"/>
      <c r="K23" s="99">
        <f>+G23+F23+H23+I23</f>
        <v>2.7892156774915091</v>
      </c>
      <c r="L23" s="96"/>
      <c r="M23" s="255">
        <f t="shared" si="6"/>
        <v>1.42</v>
      </c>
      <c r="N23" s="42"/>
      <c r="O23" s="288">
        <v>12</v>
      </c>
      <c r="Q23" s="268">
        <f t="shared" si="12"/>
        <v>284</v>
      </c>
    </row>
    <row r="24" spans="1:17" x14ac:dyDescent="0.2">
      <c r="A24" s="272" t="s">
        <v>7</v>
      </c>
      <c r="B24" s="23" t="s">
        <v>97</v>
      </c>
      <c r="C24" s="62">
        <f>+'CX cxj Año2'!C24</f>
        <v>0</v>
      </c>
      <c r="D24" s="23">
        <f>+'CX cxj Año2'!D24</f>
        <v>24</v>
      </c>
      <c r="E24" s="62">
        <f t="shared" si="13"/>
        <v>0</v>
      </c>
      <c r="F24" s="23">
        <f t="shared" si="1"/>
        <v>0</v>
      </c>
      <c r="G24" s="63">
        <f t="shared" si="2"/>
        <v>0</v>
      </c>
      <c r="H24" s="23">
        <f t="shared" si="3"/>
        <v>0</v>
      </c>
      <c r="I24" s="88">
        <f t="shared" si="4"/>
        <v>0</v>
      </c>
      <c r="J24" s="61"/>
      <c r="K24" s="99">
        <f>+G24+F24+H24+I24</f>
        <v>0</v>
      </c>
      <c r="L24" s="96"/>
      <c r="M24" s="255">
        <f>ROUND(+K24*$L$10,2)</f>
        <v>0</v>
      </c>
      <c r="N24" s="42"/>
      <c r="O24" s="288">
        <v>12</v>
      </c>
      <c r="P24" s="29"/>
      <c r="Q24" s="268">
        <f t="shared" si="12"/>
        <v>0</v>
      </c>
    </row>
    <row r="25" spans="1:17" x14ac:dyDescent="0.2">
      <c r="A25" s="107" t="s">
        <v>8</v>
      </c>
      <c r="B25" s="186" t="s">
        <v>11</v>
      </c>
      <c r="C25" s="62"/>
      <c r="D25" s="186"/>
      <c r="E25" s="62"/>
      <c r="F25" s="23"/>
      <c r="G25" s="63"/>
      <c r="H25" s="23"/>
      <c r="I25" s="88"/>
      <c r="J25" s="61"/>
      <c r="K25" s="99"/>
      <c r="L25" s="96"/>
      <c r="M25" s="97"/>
      <c r="N25" s="42"/>
      <c r="O25" s="290"/>
      <c r="P25" s="29"/>
      <c r="Q25" s="268"/>
    </row>
    <row r="26" spans="1:17" x14ac:dyDescent="0.2">
      <c r="A26" s="89" t="s">
        <v>135</v>
      </c>
      <c r="B26" s="23" t="str">
        <f>+[8]VNR2004!B21</f>
        <v>Miles B/./km</v>
      </c>
      <c r="C26" s="62">
        <f>+'CX cxj Año2'!C26</f>
        <v>7309.3232731987555</v>
      </c>
      <c r="D26" s="23">
        <f>+'CX cxj Año2'!D26</f>
        <v>38.299999999999997</v>
      </c>
      <c r="E26" s="62">
        <f t="shared" si="13"/>
        <v>190.84394969187352</v>
      </c>
      <c r="F26" s="23">
        <f t="shared" si="1"/>
        <v>3.5687818592380349</v>
      </c>
      <c r="G26" s="63">
        <f t="shared" si="2"/>
        <v>2.5191401359327306</v>
      </c>
      <c r="H26" s="23">
        <f t="shared" si="3"/>
        <v>6.3714936924987189</v>
      </c>
      <c r="I26" s="88">
        <f t="shared" si="4"/>
        <v>13.931608327506765</v>
      </c>
      <c r="J26" s="61"/>
      <c r="K26" s="95">
        <f t="shared" ref="K26:K32" si="14">+F26+G26+H26+I26</f>
        <v>26.391024015176249</v>
      </c>
      <c r="L26" s="96"/>
      <c r="M26" s="97">
        <f>ROUND(+K26*$L$10,2)</f>
        <v>13.45</v>
      </c>
      <c r="N26" s="42"/>
      <c r="O26" s="288">
        <v>12</v>
      </c>
      <c r="P26" s="29"/>
      <c r="Q26" s="268">
        <f t="shared" ref="Q26" si="15">+M26*D26/12*O26</f>
        <v>515.13499999999999</v>
      </c>
    </row>
    <row r="27" spans="1:17" x14ac:dyDescent="0.2">
      <c r="A27" s="89" t="s">
        <v>139</v>
      </c>
      <c r="B27" s="23" t="str">
        <f>+[8]VNR2004!B22</f>
        <v>Miles B/./km</v>
      </c>
      <c r="C27" s="62"/>
      <c r="D27" s="23"/>
      <c r="E27" s="62"/>
      <c r="F27" s="23"/>
      <c r="G27" s="63"/>
      <c r="H27" s="23"/>
      <c r="I27" s="88"/>
      <c r="J27" s="61"/>
      <c r="K27" s="95">
        <f t="shared" si="14"/>
        <v>0</v>
      </c>
      <c r="L27" s="96"/>
      <c r="M27" s="98" t="s">
        <v>128</v>
      </c>
      <c r="N27" s="281"/>
      <c r="O27" s="281"/>
      <c r="P27" s="29"/>
      <c r="Q27" s="268">
        <f>+' VNR'!O23</f>
        <v>0</v>
      </c>
    </row>
    <row r="28" spans="1:17" x14ac:dyDescent="0.2">
      <c r="A28" s="89" t="s">
        <v>93</v>
      </c>
      <c r="B28" s="23" t="str">
        <f>+[8]VNR2004!B23</f>
        <v>Miles B/./km</v>
      </c>
      <c r="C28" s="62"/>
      <c r="D28" s="23"/>
      <c r="E28" s="62"/>
      <c r="F28" s="23"/>
      <c r="G28" s="63"/>
      <c r="H28" s="23"/>
      <c r="I28" s="88"/>
      <c r="J28" s="61"/>
      <c r="K28" s="95">
        <f t="shared" si="14"/>
        <v>0</v>
      </c>
      <c r="L28" s="96"/>
      <c r="M28" s="98" t="s">
        <v>128</v>
      </c>
      <c r="N28" s="281"/>
      <c r="O28" s="281"/>
      <c r="Q28" s="268">
        <f>+' VNR'!O24</f>
        <v>0</v>
      </c>
    </row>
    <row r="29" spans="1:17" x14ac:dyDescent="0.2">
      <c r="A29" s="89" t="s">
        <v>134</v>
      </c>
      <c r="B29" s="23" t="str">
        <f>+[8]VNR2004!B24</f>
        <v>Miles B/./km</v>
      </c>
      <c r="C29" s="125"/>
      <c r="D29" s="83"/>
      <c r="E29" s="125"/>
      <c r="F29" s="23"/>
      <c r="G29" s="63"/>
      <c r="H29" s="23"/>
      <c r="I29" s="88"/>
      <c r="J29" s="61"/>
      <c r="K29" s="95">
        <f t="shared" si="14"/>
        <v>0</v>
      </c>
      <c r="L29" s="100"/>
      <c r="M29" s="98" t="s">
        <v>128</v>
      </c>
      <c r="N29" s="281"/>
      <c r="O29" s="281"/>
      <c r="Q29" s="269">
        <f>+' VNR'!R10</f>
        <v>0</v>
      </c>
    </row>
    <row r="30" spans="1:17" x14ac:dyDescent="0.2">
      <c r="A30" s="89" t="s">
        <v>138</v>
      </c>
      <c r="B30" s="59" t="s">
        <v>136</v>
      </c>
      <c r="C30" s="125"/>
      <c r="D30" s="265"/>
      <c r="E30" s="125"/>
      <c r="F30" s="83"/>
      <c r="G30" s="84"/>
      <c r="H30" s="83"/>
      <c r="I30" s="90"/>
      <c r="J30" s="61"/>
      <c r="K30" s="101">
        <f t="shared" si="14"/>
        <v>0</v>
      </c>
      <c r="L30" s="100"/>
      <c r="M30" s="98" t="s">
        <v>128</v>
      </c>
      <c r="N30" s="281"/>
      <c r="O30" s="281"/>
      <c r="Q30" s="269">
        <f>+' VNR'!R11</f>
        <v>0</v>
      </c>
    </row>
    <row r="31" spans="1:17" ht="18" x14ac:dyDescent="0.25">
      <c r="A31" s="1576" t="s">
        <v>137</v>
      </c>
      <c r="B31" s="59" t="str">
        <f>+[8]VNR2004!B24</f>
        <v>Miles B/./km</v>
      </c>
      <c r="C31" s="62"/>
      <c r="D31" s="265"/>
      <c r="E31" s="125"/>
      <c r="F31" s="83"/>
      <c r="G31" s="84"/>
      <c r="H31" s="83"/>
      <c r="I31" s="90"/>
      <c r="J31" s="61"/>
      <c r="K31" s="101">
        <f t="shared" si="14"/>
        <v>0</v>
      </c>
      <c r="L31" s="100"/>
      <c r="M31" s="98" t="s">
        <v>128</v>
      </c>
      <c r="N31" s="287"/>
      <c r="O31" s="295"/>
      <c r="Q31" s="269">
        <f>+' VNR'!O27</f>
        <v>0</v>
      </c>
    </row>
    <row r="32" spans="1:17" ht="18.75" thickBot="1" x14ac:dyDescent="0.3">
      <c r="A32" s="1577" t="s">
        <v>881</v>
      </c>
      <c r="B32" s="1568" t="s">
        <v>136</v>
      </c>
      <c r="C32" s="1561">
        <f>+' VNR'!G81</f>
        <v>54749</v>
      </c>
      <c r="D32" s="91">
        <f>+' VNR'!E83</f>
        <v>96.7</v>
      </c>
      <c r="E32" s="1569">
        <f t="shared" ref="E32" si="16">+C32/D32</f>
        <v>566.17373319544981</v>
      </c>
      <c r="F32" s="91">
        <f t="shared" ref="F32" si="17">$E32*$F$10</f>
        <v>10.587448810754912</v>
      </c>
      <c r="G32" s="92">
        <f t="shared" ref="G32" si="18">+$E32*$G$10</f>
        <v>7.4734932781799372</v>
      </c>
      <c r="H32" s="91">
        <f t="shared" ref="H32" si="19">$E32*$H$10</f>
        <v>18.902209767391277</v>
      </c>
      <c r="I32" s="93">
        <f t="shared" ref="I32" si="20">$E32*$I$10</f>
        <v>41.330682523267832</v>
      </c>
      <c r="J32" s="61"/>
      <c r="K32" s="102">
        <f t="shared" si="14"/>
        <v>78.29383437959396</v>
      </c>
      <c r="L32" s="103"/>
      <c r="M32" s="104">
        <f>ROUND(+K32*$L$10,2)</f>
        <v>39.909999999999997</v>
      </c>
      <c r="N32" s="287"/>
      <c r="O32" s="295">
        <v>12</v>
      </c>
      <c r="Q32" s="270">
        <f t="shared" ref="Q32" si="21">+M32*D32/12*O32</f>
        <v>3859.2969999999996</v>
      </c>
    </row>
    <row r="33" spans="1:17" x14ac:dyDescent="0.2">
      <c r="A33" s="75"/>
      <c r="B33" s="279"/>
      <c r="C33" s="279"/>
      <c r="D33" s="279"/>
      <c r="E33" s="279"/>
      <c r="F33" s="279"/>
      <c r="G33" s="280"/>
      <c r="H33" s="279"/>
      <c r="I33" s="279"/>
      <c r="K33" s="280"/>
      <c r="L33" s="24"/>
      <c r="M33" s="281"/>
      <c r="N33" s="281"/>
      <c r="O33" s="281"/>
      <c r="Q33" s="279"/>
    </row>
    <row r="34" spans="1:17" x14ac:dyDescent="0.2">
      <c r="A34" s="75"/>
      <c r="C34" s="34">
        <f>SUM(C12:C32)</f>
        <v>183928.59652639035</v>
      </c>
      <c r="D34" s="34"/>
      <c r="E34" s="34"/>
      <c r="F34" s="34"/>
      <c r="G34" s="34"/>
      <c r="H34" s="34"/>
      <c r="I34" s="34"/>
      <c r="P34" t="s">
        <v>12</v>
      </c>
      <c r="Q34" s="34">
        <f>SUM(Q12:Q32)</f>
        <v>12966.737000000001</v>
      </c>
    </row>
    <row r="36" spans="1:17" x14ac:dyDescent="0.2">
      <c r="Q36" s="34">
        <f>+Q26</f>
        <v>515.13499999999999</v>
      </c>
    </row>
    <row r="37" spans="1:17" x14ac:dyDescent="0.2">
      <c r="B37" t="s">
        <v>685</v>
      </c>
    </row>
    <row r="38" spans="1:17" x14ac:dyDescent="0.2">
      <c r="Q38" s="34">
        <f>+Q34+Q36</f>
        <v>13481.872000000001</v>
      </c>
    </row>
  </sheetData>
  <mergeCells count="18">
    <mergeCell ref="L8:L9"/>
    <mergeCell ref="M8:M9"/>
    <mergeCell ref="Q8:Q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Q39"/>
  <sheetViews>
    <sheetView topLeftCell="A4" zoomScale="77" zoomScaleNormal="77" workbookViewId="0">
      <selection activeCell="C34" sqref="C34"/>
    </sheetView>
  </sheetViews>
  <sheetFormatPr baseColWidth="10" defaultColWidth="11.42578125" defaultRowHeight="12.75" x14ac:dyDescent="0.2"/>
  <cols>
    <col min="1" max="1" width="38.42578125" customWidth="1"/>
    <col min="2" max="2" width="17.85546875" customWidth="1"/>
    <col min="3" max="3" width="14.42578125" customWidth="1"/>
    <col min="4" max="4" width="13.42578125" customWidth="1"/>
    <col min="5" max="5" width="11.85546875" customWidth="1"/>
    <col min="7" max="7" width="12.85546875" customWidth="1"/>
    <col min="8" max="8" width="11.28515625" customWidth="1"/>
    <col min="9" max="9" width="17.5703125" customWidth="1"/>
    <col min="10" max="10" width="11.85546875" customWidth="1"/>
    <col min="11" max="11" width="23.28515625" customWidth="1"/>
  </cols>
  <sheetData>
    <row r="1" spans="1:17" ht="18" x14ac:dyDescent="0.25">
      <c r="A1" s="1587" t="s">
        <v>13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</row>
    <row r="2" spans="1:17" ht="39.6" customHeight="1" thickBot="1" x14ac:dyDescent="0.25">
      <c r="A2" s="1612" t="s">
        <v>23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</row>
    <row r="3" spans="1:17" ht="27.6" customHeight="1" x14ac:dyDescent="0.2">
      <c r="A3" s="1613" t="s">
        <v>25</v>
      </c>
      <c r="B3" s="1614"/>
      <c r="C3" s="1614"/>
      <c r="D3" s="1614"/>
      <c r="E3" s="1621" t="s">
        <v>78</v>
      </c>
      <c r="F3" s="1622"/>
      <c r="G3" s="1622"/>
      <c r="H3" s="1622"/>
      <c r="I3" s="1622"/>
      <c r="J3" s="1622"/>
      <c r="K3" s="1623"/>
    </row>
    <row r="4" spans="1:17" ht="27.6" customHeight="1" thickBot="1" x14ac:dyDescent="0.25">
      <c r="A4" s="1615"/>
      <c r="B4" s="1616"/>
      <c r="C4" s="1616"/>
      <c r="D4" s="1616"/>
      <c r="E4" s="21"/>
      <c r="K4" s="27"/>
    </row>
    <row r="5" spans="1:17" ht="27.6" customHeight="1" x14ac:dyDescent="0.2">
      <c r="A5" s="1615"/>
      <c r="B5" s="1616"/>
      <c r="C5" s="1616"/>
      <c r="D5" s="1616"/>
      <c r="E5" s="1621" t="s">
        <v>79</v>
      </c>
      <c r="F5" s="1622"/>
      <c r="G5" s="1622"/>
      <c r="H5" s="1622"/>
      <c r="I5" s="1622"/>
      <c r="J5" s="1622"/>
      <c r="K5" s="1623"/>
    </row>
    <row r="6" spans="1:17" ht="27.6" customHeight="1" thickBot="1" x14ac:dyDescent="0.25">
      <c r="A6" s="1617"/>
      <c r="B6" s="1618"/>
      <c r="C6" s="1618"/>
      <c r="D6" s="1618"/>
      <c r="E6" s="28"/>
      <c r="F6" s="25"/>
      <c r="G6" s="25"/>
      <c r="H6" s="25"/>
      <c r="I6" s="25"/>
      <c r="J6" s="25"/>
      <c r="K6" s="26"/>
    </row>
    <row r="7" spans="1:17" ht="18" customHeight="1" thickBot="1" x14ac:dyDescent="0.25">
      <c r="A7" s="57"/>
      <c r="B7" s="57"/>
      <c r="C7" s="57"/>
      <c r="D7" s="57"/>
      <c r="H7" s="25"/>
    </row>
    <row r="8" spans="1:17" ht="26.45" customHeight="1" x14ac:dyDescent="0.2">
      <c r="A8" s="1611" t="s">
        <v>24</v>
      </c>
      <c r="B8" s="1611" t="s">
        <v>17</v>
      </c>
      <c r="C8" s="1606" t="s">
        <v>1</v>
      </c>
      <c r="D8" s="1606" t="s">
        <v>173</v>
      </c>
      <c r="E8" s="1619" t="s">
        <v>85</v>
      </c>
      <c r="F8" s="1620" t="s">
        <v>131</v>
      </c>
      <c r="G8" s="1620" t="s">
        <v>132</v>
      </c>
      <c r="H8" s="1620" t="s">
        <v>133</v>
      </c>
      <c r="I8" s="1620" t="s">
        <v>76</v>
      </c>
      <c r="J8" s="76"/>
      <c r="K8" s="1611" t="s">
        <v>77</v>
      </c>
      <c r="L8" s="1610" t="s">
        <v>74</v>
      </c>
      <c r="M8" s="1611" t="s">
        <v>130</v>
      </c>
      <c r="N8" s="291"/>
      <c r="O8" s="282" t="s">
        <v>183</v>
      </c>
      <c r="Q8" s="1608" t="s">
        <v>175</v>
      </c>
    </row>
    <row r="9" spans="1:17" ht="16.899999999999999" customHeight="1" x14ac:dyDescent="0.2">
      <c r="A9" s="1611"/>
      <c r="B9" s="1611"/>
      <c r="C9" s="1607"/>
      <c r="D9" s="1607"/>
      <c r="E9" s="1619"/>
      <c r="F9" s="1620"/>
      <c r="G9" s="1620"/>
      <c r="H9" s="1620"/>
      <c r="I9" s="1620"/>
      <c r="J9" s="77"/>
      <c r="K9" s="1611"/>
      <c r="L9" s="1610"/>
      <c r="M9" s="1611"/>
      <c r="N9" s="291"/>
      <c r="O9" s="282"/>
      <c r="Q9" s="1609"/>
    </row>
    <row r="10" spans="1:17" ht="18.75" customHeight="1" x14ac:dyDescent="0.25">
      <c r="A10" s="82" t="s">
        <v>15</v>
      </c>
      <c r="B10" s="80"/>
      <c r="C10" s="263"/>
      <c r="D10" s="80"/>
      <c r="E10" s="264"/>
      <c r="F10" s="126">
        <f>+'CX cxj Año3'!F10</f>
        <v>1.8700000000000001E-2</v>
      </c>
      <c r="G10" s="126">
        <f>+'CX cxj Año3'!G10</f>
        <v>1.32E-2</v>
      </c>
      <c r="H10" s="1126">
        <f>+'CX cxj Año3'!H10</f>
        <v>3.3385882564188139E-2</v>
      </c>
      <c r="I10" s="126">
        <f>+'CX cxj Año3'!I10</f>
        <v>7.2999999999999995E-2</v>
      </c>
      <c r="J10" s="127"/>
      <c r="K10" s="81"/>
      <c r="L10" s="183">
        <f>+'CX cxj Año1 '!L10</f>
        <v>0.50979655790306455</v>
      </c>
      <c r="M10" s="81"/>
      <c r="N10" s="292"/>
      <c r="O10" s="283"/>
      <c r="Q10" s="266"/>
    </row>
    <row r="11" spans="1:17" x14ac:dyDescent="0.2">
      <c r="A11" s="85" t="s">
        <v>3</v>
      </c>
      <c r="B11" s="73"/>
      <c r="C11" s="78"/>
      <c r="D11" s="73"/>
      <c r="E11" s="78"/>
      <c r="F11" s="79"/>
      <c r="G11" s="60"/>
      <c r="H11" s="79"/>
      <c r="I11" s="86"/>
      <c r="J11" s="60"/>
      <c r="K11" s="94"/>
      <c r="L11" s="79"/>
      <c r="M11" s="86"/>
      <c r="Q11" s="267"/>
    </row>
    <row r="12" spans="1:17" x14ac:dyDescent="0.2">
      <c r="A12" s="1544" t="s">
        <v>86</v>
      </c>
      <c r="B12" s="23" t="str">
        <f>+[8]VNR2004!B8</f>
        <v>Miles B/./Salida</v>
      </c>
      <c r="C12" s="1555">
        <f>+'CX cxj Año3'!C12</f>
        <v>9738.4810921140579</v>
      </c>
      <c r="D12" s="23">
        <f>+' VNR'!D5+' VNR'!D34</f>
        <v>4</v>
      </c>
      <c r="E12" s="62">
        <f>+C12/D12</f>
        <v>2434.6202730285145</v>
      </c>
      <c r="F12" s="23">
        <f>$E12*$F$10</f>
        <v>45.527399105633222</v>
      </c>
      <c r="G12" s="63">
        <f>+$E12*$G$10</f>
        <v>32.136987603976394</v>
      </c>
      <c r="H12" s="23">
        <f>$E12*$H$10</f>
        <v>81.281946523721643</v>
      </c>
      <c r="I12" s="88">
        <f>$E12*$I$10</f>
        <v>177.72727993108154</v>
      </c>
      <c r="J12" s="61"/>
      <c r="K12" s="95">
        <f>+F12+G12+H12+I12</f>
        <v>336.67361316441281</v>
      </c>
      <c r="L12" s="96"/>
      <c r="M12" s="255">
        <f>ROUND(+K12*$L$10,2)</f>
        <v>171.64</v>
      </c>
      <c r="N12" s="42"/>
      <c r="O12" s="288">
        <v>12</v>
      </c>
      <c r="P12" s="111"/>
      <c r="Q12" s="268">
        <f>+M12*D12/12*O12</f>
        <v>686.56</v>
      </c>
    </row>
    <row r="13" spans="1:17" x14ac:dyDescent="0.2">
      <c r="A13" s="87" t="s">
        <v>87</v>
      </c>
      <c r="B13" s="23" t="str">
        <f>+[8]VNR2004!B9</f>
        <v>Miles B/./Salida</v>
      </c>
      <c r="C13" s="62">
        <f>+'CX cxj Año3'!C13</f>
        <v>38660.98630077891</v>
      </c>
      <c r="D13" s="23">
        <f>+' VNR'!D6</f>
        <v>13</v>
      </c>
      <c r="E13" s="62">
        <f>+C13/D13</f>
        <v>2973.922023136839</v>
      </c>
      <c r="F13" s="23">
        <f>$E13*$F$10</f>
        <v>55.612341832658892</v>
      </c>
      <c r="G13" s="63">
        <f t="shared" ref="G13:G26" si="0">+$E13*$G$10</f>
        <v>39.255770705406277</v>
      </c>
      <c r="H13" s="23">
        <f t="shared" ref="H13:H26" si="1">$E13*$H$10</f>
        <v>99.287011419499308</v>
      </c>
      <c r="I13" s="88">
        <f t="shared" ref="I13:I26" si="2">$E13*$I$10</f>
        <v>217.09630768898924</v>
      </c>
      <c r="J13" s="61"/>
      <c r="K13" s="95">
        <f t="shared" ref="K13:K19" si="3">+F13+G13+H13+I13</f>
        <v>411.25143164655367</v>
      </c>
      <c r="L13" s="96"/>
      <c r="M13" s="255">
        <f t="shared" ref="M13:M23" si="4">ROUND(+K13*$L$10,2)</f>
        <v>209.65</v>
      </c>
      <c r="N13" s="42"/>
      <c r="O13" s="288">
        <v>12</v>
      </c>
      <c r="Q13" s="268">
        <f t="shared" ref="Q13:Q17" si="5">+M13*D13/12*O13</f>
        <v>2725.4500000000003</v>
      </c>
    </row>
    <row r="14" spans="1:17" x14ac:dyDescent="0.2">
      <c r="A14" s="87" t="s">
        <v>88</v>
      </c>
      <c r="B14" s="23" t="str">
        <f>+[8]VNR2004!B10</f>
        <v>Miles B/./Salida</v>
      </c>
      <c r="C14" s="62">
        <f>+'CX cxj Año3'!C14</f>
        <v>2158.3127379330022</v>
      </c>
      <c r="D14" s="23">
        <f>+' VNR'!D7</f>
        <v>3</v>
      </c>
      <c r="E14" s="62">
        <f>+C14/D14</f>
        <v>719.43757931100072</v>
      </c>
      <c r="F14" s="23">
        <f t="shared" ref="F14:F19" si="6">$E14*$F$10</f>
        <v>13.453482733115715</v>
      </c>
      <c r="G14" s="63">
        <f t="shared" si="0"/>
        <v>9.4965760469052096</v>
      </c>
      <c r="H14" s="23">
        <f t="shared" si="1"/>
        <v>24.019058535140861</v>
      </c>
      <c r="I14" s="88">
        <f t="shared" si="2"/>
        <v>52.518943289703046</v>
      </c>
      <c r="J14" s="61"/>
      <c r="K14" s="95">
        <f t="shared" si="3"/>
        <v>99.488060604864827</v>
      </c>
      <c r="L14" s="96"/>
      <c r="M14" s="255">
        <f t="shared" si="4"/>
        <v>50.72</v>
      </c>
      <c r="N14" s="42"/>
      <c r="O14" s="288">
        <v>12</v>
      </c>
      <c r="Q14" s="268">
        <f t="shared" si="5"/>
        <v>152.16</v>
      </c>
    </row>
    <row r="15" spans="1:17" x14ac:dyDescent="0.2">
      <c r="A15" s="87" t="s">
        <v>89</v>
      </c>
      <c r="B15" s="23" t="str">
        <f>+[8]VNR2004!B11</f>
        <v>Miles B/./Salida</v>
      </c>
      <c r="C15" s="62">
        <f>+'CX cxj Año3'!C15</f>
        <v>9091.9350774996201</v>
      </c>
      <c r="D15" s="23">
        <f>+' VNR'!D8</f>
        <v>3</v>
      </c>
      <c r="E15" s="62">
        <f>+C15/D15</f>
        <v>3030.6450258332065</v>
      </c>
      <c r="F15" s="23">
        <f>$E15*$F$10</f>
        <v>56.673061983080963</v>
      </c>
      <c r="G15" s="63">
        <f t="shared" si="0"/>
        <v>40.004514340998327</v>
      </c>
      <c r="H15" s="23">
        <f t="shared" si="1"/>
        <v>101.18075892620837</v>
      </c>
      <c r="I15" s="88">
        <f t="shared" si="2"/>
        <v>221.23708688582406</v>
      </c>
      <c r="J15" s="61"/>
      <c r="K15" s="95">
        <f t="shared" si="3"/>
        <v>419.09542213611172</v>
      </c>
      <c r="L15" s="96"/>
      <c r="M15" s="255">
        <f t="shared" si="4"/>
        <v>213.65</v>
      </c>
      <c r="N15" s="42"/>
      <c r="O15" s="288">
        <v>12</v>
      </c>
      <c r="Q15" s="268">
        <f t="shared" si="5"/>
        <v>640.95000000000005</v>
      </c>
    </row>
    <row r="16" spans="1:17" x14ac:dyDescent="0.2">
      <c r="A16" s="87" t="s">
        <v>98</v>
      </c>
      <c r="B16" s="59" t="s">
        <v>68</v>
      </c>
      <c r="C16" s="62">
        <f>+'CX cxj Año3'!C16</f>
        <v>0</v>
      </c>
      <c r="D16" s="23">
        <f>+' VNR'!D9</f>
        <v>0</v>
      </c>
      <c r="E16" s="62">
        <f>+' VNR'!E9</f>
        <v>0</v>
      </c>
      <c r="F16" s="23">
        <f t="shared" si="6"/>
        <v>0</v>
      </c>
      <c r="G16" s="63">
        <f t="shared" si="0"/>
        <v>0</v>
      </c>
      <c r="H16" s="23">
        <f t="shared" si="1"/>
        <v>0</v>
      </c>
      <c r="I16" s="88">
        <f t="shared" si="2"/>
        <v>0</v>
      </c>
      <c r="J16" s="61"/>
      <c r="K16" s="95">
        <f t="shared" ref="K16:K17" si="7">+F16+G16+H16+I16</f>
        <v>0</v>
      </c>
      <c r="L16" s="96"/>
      <c r="M16" s="255">
        <f t="shared" ref="M16:M17" si="8">ROUND(+K16*$L$10,2)</f>
        <v>0</v>
      </c>
      <c r="N16" s="281"/>
      <c r="O16" s="289"/>
      <c r="Q16" s="268">
        <f t="shared" si="5"/>
        <v>0</v>
      </c>
    </row>
    <row r="17" spans="1:17" x14ac:dyDescent="0.2">
      <c r="A17" s="87" t="s">
        <v>99</v>
      </c>
      <c r="B17" s="23" t="str">
        <f>+[8]VNR2004!B13</f>
        <v>Miles B/./Salida</v>
      </c>
      <c r="C17" s="62">
        <f>+'CX cxj Año3'!C17</f>
        <v>0</v>
      </c>
      <c r="D17" s="23"/>
      <c r="E17" s="62"/>
      <c r="F17" s="23">
        <f t="shared" si="6"/>
        <v>0</v>
      </c>
      <c r="G17" s="63">
        <f t="shared" si="0"/>
        <v>0</v>
      </c>
      <c r="H17" s="23">
        <f t="shared" si="1"/>
        <v>0</v>
      </c>
      <c r="I17" s="88">
        <f t="shared" si="2"/>
        <v>0</v>
      </c>
      <c r="J17" s="61"/>
      <c r="K17" s="95">
        <f t="shared" si="7"/>
        <v>0</v>
      </c>
      <c r="L17" s="96"/>
      <c r="M17" s="255">
        <f t="shared" si="8"/>
        <v>0</v>
      </c>
      <c r="N17" s="281"/>
      <c r="O17" s="289"/>
      <c r="Q17" s="268">
        <f t="shared" si="5"/>
        <v>0</v>
      </c>
    </row>
    <row r="18" spans="1:17" x14ac:dyDescent="0.2">
      <c r="A18" s="1545" t="s">
        <v>90</v>
      </c>
      <c r="B18" s="59" t="s">
        <v>68</v>
      </c>
      <c r="C18" s="1578">
        <f>+' VNR'!C11+' VNR'!C41+' VNR'!L41+' VNR'!R41</f>
        <v>53250.677890980718</v>
      </c>
      <c r="D18" s="23">
        <f>+' VNR'!D11+' VNR'!D41+' VNR'!M41+' VNR'!S41</f>
        <v>10</v>
      </c>
      <c r="E18" s="62">
        <f>+C18/D18</f>
        <v>5325.0677890980714</v>
      </c>
      <c r="F18" s="23">
        <f>$E18*$F$10</f>
        <v>99.578767656133948</v>
      </c>
      <c r="G18" s="63">
        <f>+$E18*$G$10</f>
        <v>70.290894816094536</v>
      </c>
      <c r="H18" s="23">
        <f>$E18*$H$10</f>
        <v>177.78208785316917</v>
      </c>
      <c r="I18" s="88">
        <f>$E18*$I$10</f>
        <v>388.72994860415918</v>
      </c>
      <c r="J18" s="61"/>
      <c r="K18" s="184">
        <f>+F18+G18+H18+I18</f>
        <v>736.38169892955682</v>
      </c>
      <c r="L18" s="96"/>
      <c r="M18" s="255">
        <f>ROUND(+K18*$L$10,2)</f>
        <v>375.4</v>
      </c>
      <c r="N18" s="42"/>
      <c r="O18" s="288">
        <v>12</v>
      </c>
      <c r="Q18" s="268">
        <f t="shared" ref="Q18:Q19" si="9">+M18*D18/12*O18</f>
        <v>3754</v>
      </c>
    </row>
    <row r="19" spans="1:17" x14ac:dyDescent="0.2">
      <c r="A19" s="187" t="s">
        <v>168</v>
      </c>
      <c r="B19" s="59" t="s">
        <v>68</v>
      </c>
      <c r="C19" s="62">
        <v>0</v>
      </c>
      <c r="D19" s="23">
        <v>0</v>
      </c>
      <c r="E19" s="62">
        <v>0</v>
      </c>
      <c r="F19" s="23">
        <f t="shared" si="6"/>
        <v>0</v>
      </c>
      <c r="G19" s="63">
        <f t="shared" si="0"/>
        <v>0</v>
      </c>
      <c r="H19" s="23">
        <f t="shared" si="1"/>
        <v>0</v>
      </c>
      <c r="I19" s="88">
        <f t="shared" si="2"/>
        <v>0</v>
      </c>
      <c r="J19" s="61"/>
      <c r="K19" s="184">
        <f t="shared" si="3"/>
        <v>0</v>
      </c>
      <c r="L19" s="96"/>
      <c r="M19" s="255">
        <f>ROUND(+K19*$L$10,2)</f>
        <v>0</v>
      </c>
      <c r="N19" s="42"/>
      <c r="O19" s="255">
        <v>0</v>
      </c>
      <c r="Q19" s="268">
        <f t="shared" si="9"/>
        <v>0</v>
      </c>
    </row>
    <row r="20" spans="1:17" x14ac:dyDescent="0.2">
      <c r="A20" s="271" t="s">
        <v>4</v>
      </c>
      <c r="B20" s="23"/>
      <c r="C20" s="62"/>
      <c r="D20" s="23"/>
      <c r="E20" s="62"/>
      <c r="F20" s="23"/>
      <c r="G20" s="63"/>
      <c r="H20" s="23"/>
      <c r="I20" s="88"/>
      <c r="J20" s="61"/>
      <c r="K20" s="184"/>
      <c r="L20" s="96"/>
      <c r="M20" s="255"/>
      <c r="N20" s="42"/>
      <c r="O20" s="288"/>
      <c r="Q20" s="268"/>
    </row>
    <row r="21" spans="1:17" x14ac:dyDescent="0.2">
      <c r="A21" s="112" t="str">
        <f>+' VNR'!B15</f>
        <v>CXTR Reductor 60/80/100 MVA</v>
      </c>
      <c r="B21" s="23" t="s">
        <v>97</v>
      </c>
      <c r="C21" s="62">
        <f>+'CX cxj Año3'!C21</f>
        <v>5462.0117602370328</v>
      </c>
      <c r="D21" s="23">
        <f>+'CX cxj Año3'!D21</f>
        <v>200</v>
      </c>
      <c r="E21" s="62">
        <f>+C21/D21</f>
        <v>27.310058801185164</v>
      </c>
      <c r="F21" s="23">
        <f>$E21*$F$10</f>
        <v>0.51069809958216261</v>
      </c>
      <c r="G21" s="63">
        <f>+$E21*$G$10</f>
        <v>0.36049277617564418</v>
      </c>
      <c r="H21" s="23">
        <f t="shared" si="1"/>
        <v>0.91177041595744057</v>
      </c>
      <c r="I21" s="88">
        <f t="shared" si="2"/>
        <v>1.9936342924865169</v>
      </c>
      <c r="J21" s="61"/>
      <c r="K21" s="185">
        <f>+G21+F21+H21+I21</f>
        <v>3.7765955842017642</v>
      </c>
      <c r="L21" s="96"/>
      <c r="M21" s="255">
        <f t="shared" si="4"/>
        <v>1.93</v>
      </c>
      <c r="N21" s="42"/>
      <c r="O21" s="288">
        <v>12</v>
      </c>
      <c r="Q21" s="268">
        <f t="shared" ref="Q21:Q24" si="10">+M21*D21/12*O21</f>
        <v>386</v>
      </c>
    </row>
    <row r="22" spans="1:17" x14ac:dyDescent="0.2">
      <c r="A22" s="113" t="s">
        <v>5</v>
      </c>
      <c r="B22" s="23" t="s">
        <v>97</v>
      </c>
      <c r="C22" s="62">
        <f>+'CX cxj Año3'!C22</f>
        <v>5259.3836863563238</v>
      </c>
      <c r="D22" s="23">
        <f>+'CX cxj Año3'!D22</f>
        <v>140</v>
      </c>
      <c r="E22" s="62">
        <f t="shared" ref="E22:E26" si="11">+C22/D22</f>
        <v>37.567026331116601</v>
      </c>
      <c r="F22" s="23">
        <f t="shared" ref="F22:F24" si="12">$E22*$F$10</f>
        <v>0.70250339239188053</v>
      </c>
      <c r="G22" s="63">
        <f t="shared" ref="G22:G24" si="13">+$E22*$G$10</f>
        <v>0.49588474757073914</v>
      </c>
      <c r="H22" s="23">
        <f t="shared" si="1"/>
        <v>1.2542083293764223</v>
      </c>
      <c r="I22" s="88">
        <f t="shared" si="2"/>
        <v>2.7423929221715118</v>
      </c>
      <c r="J22" s="61"/>
      <c r="K22" s="185">
        <f>+G22+F22+H22+I22</f>
        <v>5.1949893915105534</v>
      </c>
      <c r="L22" s="96"/>
      <c r="M22" s="255">
        <f t="shared" si="4"/>
        <v>2.65</v>
      </c>
      <c r="N22" s="42"/>
      <c r="O22" s="288">
        <v>12</v>
      </c>
      <c r="Q22" s="268">
        <f t="shared" si="10"/>
        <v>371</v>
      </c>
    </row>
    <row r="23" spans="1:17" x14ac:dyDescent="0.2">
      <c r="A23" s="113" t="s">
        <v>6</v>
      </c>
      <c r="B23" s="23" t="s">
        <v>97</v>
      </c>
      <c r="C23" s="62">
        <f>+'CX cxj Año3'!C23</f>
        <v>4033.9847072919238</v>
      </c>
      <c r="D23" s="23">
        <f>+'CX cxj Año3'!D23</f>
        <v>200</v>
      </c>
      <c r="E23" s="62">
        <f t="shared" si="11"/>
        <v>20.169923536459621</v>
      </c>
      <c r="F23" s="23">
        <f t="shared" si="12"/>
        <v>0.37717757013179493</v>
      </c>
      <c r="G23" s="63">
        <f t="shared" si="13"/>
        <v>0.266242990681267</v>
      </c>
      <c r="H23" s="23">
        <f t="shared" si="1"/>
        <v>0.67339069851689526</v>
      </c>
      <c r="I23" s="88">
        <f t="shared" si="2"/>
        <v>1.4724044181615521</v>
      </c>
      <c r="J23" s="61"/>
      <c r="K23" s="99">
        <f>+G23+F23+H23+I23</f>
        <v>2.7892156774915091</v>
      </c>
      <c r="L23" s="96"/>
      <c r="M23" s="255">
        <f t="shared" si="4"/>
        <v>1.42</v>
      </c>
      <c r="N23" s="42"/>
      <c r="O23" s="288">
        <v>12</v>
      </c>
      <c r="Q23" s="268">
        <f t="shared" si="10"/>
        <v>284</v>
      </c>
    </row>
    <row r="24" spans="1:17" x14ac:dyDescent="0.2">
      <c r="A24" s="272" t="s">
        <v>7</v>
      </c>
      <c r="B24" s="23" t="s">
        <v>97</v>
      </c>
      <c r="C24" s="62">
        <f>+'CX cxj Año3'!C24</f>
        <v>0</v>
      </c>
      <c r="D24" s="23">
        <f>+'CX cxj Año3'!D24</f>
        <v>24</v>
      </c>
      <c r="E24" s="62">
        <f t="shared" si="11"/>
        <v>0</v>
      </c>
      <c r="F24" s="23">
        <f t="shared" si="12"/>
        <v>0</v>
      </c>
      <c r="G24" s="63">
        <f t="shared" si="13"/>
        <v>0</v>
      </c>
      <c r="H24" s="23">
        <f t="shared" si="1"/>
        <v>0</v>
      </c>
      <c r="I24" s="88">
        <f t="shared" si="2"/>
        <v>0</v>
      </c>
      <c r="J24" s="61"/>
      <c r="K24" s="99">
        <f>+G24+F24+H24+I24</f>
        <v>0</v>
      </c>
      <c r="L24" s="96"/>
      <c r="M24" s="255">
        <f>ROUND(+K24*$L$10,2)</f>
        <v>0</v>
      </c>
      <c r="N24" s="42"/>
      <c r="O24" s="288">
        <v>12</v>
      </c>
      <c r="P24" s="29"/>
      <c r="Q24" s="268">
        <f t="shared" si="10"/>
        <v>0</v>
      </c>
    </row>
    <row r="25" spans="1:17" x14ac:dyDescent="0.2">
      <c r="A25" s="107" t="s">
        <v>8</v>
      </c>
      <c r="B25" s="186" t="s">
        <v>11</v>
      </c>
      <c r="C25" s="62"/>
      <c r="D25" s="186"/>
      <c r="E25" s="62"/>
      <c r="F25" s="23"/>
      <c r="G25" s="63"/>
      <c r="H25" s="23"/>
      <c r="I25" s="88"/>
      <c r="J25" s="61"/>
      <c r="K25" s="99"/>
      <c r="L25" s="96"/>
      <c r="M25" s="97"/>
      <c r="N25" s="42"/>
      <c r="O25" s="290"/>
      <c r="P25" s="29"/>
      <c r="Q25" s="268"/>
    </row>
    <row r="26" spans="1:17" x14ac:dyDescent="0.2">
      <c r="A26" s="89" t="s">
        <v>135</v>
      </c>
      <c r="B26" s="23" t="str">
        <f>+[8]VNR2004!B21</f>
        <v>Miles B/./km</v>
      </c>
      <c r="C26" s="62">
        <f>+'CX cxj Año3'!C26</f>
        <v>7309.3232731987555</v>
      </c>
      <c r="D26" s="23">
        <f>+'CX cxj Año3'!D26</f>
        <v>38.299999999999997</v>
      </c>
      <c r="E26" s="62">
        <f t="shared" si="11"/>
        <v>190.84394969187352</v>
      </c>
      <c r="F26" s="23">
        <f>$E26*$F$10</f>
        <v>3.5687818592380349</v>
      </c>
      <c r="G26" s="63">
        <f t="shared" si="0"/>
        <v>2.5191401359327306</v>
      </c>
      <c r="H26" s="23">
        <f t="shared" si="1"/>
        <v>6.3714936924987189</v>
      </c>
      <c r="I26" s="88">
        <f t="shared" si="2"/>
        <v>13.931608327506765</v>
      </c>
      <c r="J26" s="61"/>
      <c r="K26" s="95">
        <f t="shared" ref="K26:K32" si="14">+F26+G26+H26+I26</f>
        <v>26.391024015176249</v>
      </c>
      <c r="L26" s="96"/>
      <c r="M26" s="97">
        <f>ROUND(+K26*$L$10,2)</f>
        <v>13.45</v>
      </c>
      <c r="N26" s="42"/>
      <c r="O26" s="288">
        <v>12</v>
      </c>
      <c r="P26" s="29"/>
      <c r="Q26" s="268">
        <f t="shared" ref="Q26" si="15">+M26*D26/12*O26</f>
        <v>515.13499999999999</v>
      </c>
    </row>
    <row r="27" spans="1:17" x14ac:dyDescent="0.2">
      <c r="A27" s="89" t="s">
        <v>139</v>
      </c>
      <c r="B27" s="23" t="str">
        <f>+[8]VNR2004!B22</f>
        <v>Miles B/./km</v>
      </c>
      <c r="C27" s="62"/>
      <c r="D27" s="23"/>
      <c r="E27" s="62"/>
      <c r="F27" s="23"/>
      <c r="G27" s="63"/>
      <c r="H27" s="23"/>
      <c r="I27" s="88"/>
      <c r="J27" s="61"/>
      <c r="K27" s="95">
        <f t="shared" si="14"/>
        <v>0</v>
      </c>
      <c r="L27" s="96"/>
      <c r="M27" s="98" t="s">
        <v>128</v>
      </c>
      <c r="N27" s="281"/>
      <c r="O27" s="281"/>
      <c r="P27" s="29"/>
      <c r="Q27" s="268">
        <f>+' VNR'!O23</f>
        <v>0</v>
      </c>
    </row>
    <row r="28" spans="1:17" x14ac:dyDescent="0.2">
      <c r="A28" s="89" t="s">
        <v>93</v>
      </c>
      <c r="B28" s="23" t="str">
        <f>+[8]VNR2004!B23</f>
        <v>Miles B/./km</v>
      </c>
      <c r="C28" s="62"/>
      <c r="D28" s="23"/>
      <c r="E28" s="62"/>
      <c r="F28" s="23"/>
      <c r="G28" s="63"/>
      <c r="H28" s="23"/>
      <c r="I28" s="88"/>
      <c r="J28" s="61"/>
      <c r="K28" s="95">
        <f t="shared" si="14"/>
        <v>0</v>
      </c>
      <c r="L28" s="96"/>
      <c r="M28" s="98" t="s">
        <v>128</v>
      </c>
      <c r="N28" s="281"/>
      <c r="O28" s="281"/>
      <c r="Q28" s="268">
        <f>+' VNR'!O24</f>
        <v>0</v>
      </c>
    </row>
    <row r="29" spans="1:17" x14ac:dyDescent="0.2">
      <c r="A29" s="89" t="s">
        <v>134</v>
      </c>
      <c r="B29" s="23" t="str">
        <f>+[8]VNR2004!B24</f>
        <v>Miles B/./km</v>
      </c>
      <c r="C29" s="125"/>
      <c r="D29" s="83"/>
      <c r="E29" s="125"/>
      <c r="F29" s="23"/>
      <c r="G29" s="63"/>
      <c r="H29" s="23"/>
      <c r="I29" s="88"/>
      <c r="J29" s="61"/>
      <c r="K29" s="95">
        <f t="shared" si="14"/>
        <v>0</v>
      </c>
      <c r="L29" s="100"/>
      <c r="M29" s="98" t="s">
        <v>128</v>
      </c>
      <c r="N29" s="281"/>
      <c r="O29" s="281"/>
      <c r="Q29" s="269">
        <f>+' VNR'!R10</f>
        <v>0</v>
      </c>
    </row>
    <row r="30" spans="1:17" x14ac:dyDescent="0.2">
      <c r="A30" s="89" t="s">
        <v>138</v>
      </c>
      <c r="B30" s="59" t="s">
        <v>136</v>
      </c>
      <c r="C30" s="125"/>
      <c r="D30" s="265"/>
      <c r="E30" s="125"/>
      <c r="F30" s="83"/>
      <c r="G30" s="84"/>
      <c r="H30" s="83"/>
      <c r="I30" s="90"/>
      <c r="J30" s="61"/>
      <c r="K30" s="101">
        <f t="shared" si="14"/>
        <v>0</v>
      </c>
      <c r="L30" s="100"/>
      <c r="M30" s="98" t="s">
        <v>128</v>
      </c>
      <c r="N30" s="281"/>
      <c r="O30" s="281"/>
      <c r="Q30" s="269">
        <f>+' VNR'!R11</f>
        <v>0</v>
      </c>
    </row>
    <row r="31" spans="1:17" ht="18" x14ac:dyDescent="0.25">
      <c r="A31" s="1576" t="s">
        <v>137</v>
      </c>
      <c r="B31" s="59" t="str">
        <f>+[8]VNR2004!B24</f>
        <v>Miles B/./km</v>
      </c>
      <c r="C31" s="62"/>
      <c r="D31" s="265"/>
      <c r="E31" s="125"/>
      <c r="F31" s="83"/>
      <c r="G31" s="84"/>
      <c r="H31" s="83"/>
      <c r="I31" s="90"/>
      <c r="J31" s="61"/>
      <c r="K31" s="101">
        <f t="shared" si="14"/>
        <v>0</v>
      </c>
      <c r="L31" s="100"/>
      <c r="M31" s="98" t="s">
        <v>128</v>
      </c>
      <c r="N31" s="287"/>
      <c r="O31" s="295"/>
      <c r="Q31" s="269">
        <f>+' VNR'!O27</f>
        <v>0</v>
      </c>
    </row>
    <row r="32" spans="1:17" ht="18.75" thickBot="1" x14ac:dyDescent="0.3">
      <c r="A32" s="1577" t="s">
        <v>881</v>
      </c>
      <c r="B32" s="1568" t="s">
        <v>136</v>
      </c>
      <c r="C32" s="1561">
        <f>+' VNR'!G81</f>
        <v>54749</v>
      </c>
      <c r="D32" s="91">
        <f>+' VNR'!E83</f>
        <v>96.7</v>
      </c>
      <c r="E32" s="1569">
        <f t="shared" ref="E32" si="16">+C32/D32</f>
        <v>566.17373319544981</v>
      </c>
      <c r="F32" s="91">
        <f t="shared" ref="F32" si="17">$E32*$F$10</f>
        <v>10.587448810754912</v>
      </c>
      <c r="G32" s="92">
        <f t="shared" ref="G32" si="18">+$E32*$G$10</f>
        <v>7.4734932781799372</v>
      </c>
      <c r="H32" s="91">
        <f t="shared" ref="H32" si="19">$E32*$H$10</f>
        <v>18.902209767391277</v>
      </c>
      <c r="I32" s="93">
        <f t="shared" ref="I32" si="20">$E32*$I$10</f>
        <v>41.330682523267832</v>
      </c>
      <c r="J32" s="61"/>
      <c r="K32" s="102">
        <f t="shared" si="14"/>
        <v>78.29383437959396</v>
      </c>
      <c r="L32" s="103"/>
      <c r="M32" s="104">
        <f>ROUND(+K32*$L$10,2)</f>
        <v>39.909999999999997</v>
      </c>
      <c r="N32" s="287"/>
      <c r="O32" s="295">
        <v>12</v>
      </c>
      <c r="Q32" s="270">
        <f t="shared" ref="Q32" si="21">+M32*D32/12*O32</f>
        <v>3859.2969999999996</v>
      </c>
    </row>
    <row r="33" spans="1:17" x14ac:dyDescent="0.2">
      <c r="A33" s="75"/>
      <c r="B33" s="279"/>
      <c r="C33" s="279">
        <f>SUM(C12:C32)</f>
        <v>189714.09652639035</v>
      </c>
      <c r="D33" s="279"/>
      <c r="E33" s="279"/>
      <c r="F33" s="279"/>
      <c r="G33" s="280"/>
      <c r="H33" s="279"/>
      <c r="I33" s="279"/>
      <c r="K33" s="280"/>
      <c r="L33" s="24"/>
      <c r="M33" s="281"/>
      <c r="N33" s="281"/>
      <c r="O33" s="281"/>
      <c r="Q33" s="279"/>
    </row>
    <row r="34" spans="1:17" x14ac:dyDescent="0.2">
      <c r="A34" s="75"/>
      <c r="C34" s="34"/>
      <c r="P34" t="s">
        <v>12</v>
      </c>
      <c r="Q34" s="34">
        <f>SUM(Q12:Q32)</f>
        <v>13374.552</v>
      </c>
    </row>
    <row r="38" spans="1:17" x14ac:dyDescent="0.2">
      <c r="Q38" s="34">
        <f>+Q26</f>
        <v>515.13499999999999</v>
      </c>
    </row>
    <row r="39" spans="1:17" x14ac:dyDescent="0.2">
      <c r="Q39" s="34">
        <f>+Q34+Q38</f>
        <v>13889.687</v>
      </c>
    </row>
  </sheetData>
  <mergeCells count="18">
    <mergeCell ref="L8:L9"/>
    <mergeCell ref="M8:M9"/>
    <mergeCell ref="Q8:Q9"/>
    <mergeCell ref="F8:F9"/>
    <mergeCell ref="G8:G9"/>
    <mergeCell ref="I8:I9"/>
    <mergeCell ref="K8:K9"/>
    <mergeCell ref="H8:H9"/>
    <mergeCell ref="A1:K1"/>
    <mergeCell ref="A2:K2"/>
    <mergeCell ref="A3:D6"/>
    <mergeCell ref="E3:K3"/>
    <mergeCell ref="E5:K5"/>
    <mergeCell ref="A8:A9"/>
    <mergeCell ref="B8:B9"/>
    <mergeCell ref="C8:C9"/>
    <mergeCell ref="D8:D9"/>
    <mergeCell ref="E8:E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B1:M55"/>
  <sheetViews>
    <sheetView showGridLines="0" topLeftCell="A11" zoomScale="90" zoomScaleNormal="90" workbookViewId="0">
      <selection activeCell="E35" sqref="E35:H35"/>
    </sheetView>
  </sheetViews>
  <sheetFormatPr baseColWidth="10" defaultColWidth="11.42578125" defaultRowHeight="12.75" x14ac:dyDescent="0.2"/>
  <cols>
    <col min="1" max="1" width="3.85546875" style="1036" customWidth="1"/>
    <col min="2" max="2" width="62.7109375" style="1036" customWidth="1"/>
    <col min="3" max="3" width="15.140625" style="1036" customWidth="1"/>
    <col min="4" max="8" width="20.5703125" style="1036" customWidth="1"/>
    <col min="9" max="9" width="14.7109375" style="1036" customWidth="1"/>
    <col min="10" max="10" width="16" style="1036" customWidth="1"/>
    <col min="11" max="11" width="11.7109375" style="1036" customWidth="1"/>
    <col min="12" max="12" width="9" style="1036" customWidth="1"/>
    <col min="13" max="13" width="61.28515625" style="1036" customWidth="1"/>
    <col min="14" max="14" width="16.85546875" style="1036" customWidth="1"/>
    <col min="15" max="15" width="4.85546875" style="1036" customWidth="1"/>
    <col min="16" max="16384" width="11.42578125" style="1036"/>
  </cols>
  <sheetData>
    <row r="1" spans="2:10" ht="18" x14ac:dyDescent="0.25">
      <c r="B1" s="1625" t="s">
        <v>13</v>
      </c>
      <c r="C1" s="1625"/>
      <c r="D1" s="1625"/>
      <c r="E1" s="1625"/>
      <c r="F1" s="1625"/>
      <c r="G1" s="1625"/>
      <c r="H1" s="1625"/>
      <c r="I1" s="1625"/>
      <c r="J1" s="1625"/>
    </row>
    <row r="2" spans="2:10" ht="18" x14ac:dyDescent="0.25">
      <c r="B2" s="1625" t="s">
        <v>23</v>
      </c>
      <c r="C2" s="1625"/>
      <c r="D2" s="1625"/>
      <c r="E2" s="1625"/>
      <c r="F2" s="1625"/>
      <c r="G2" s="1625"/>
      <c r="H2" s="1625"/>
      <c r="I2" s="1625"/>
      <c r="J2" s="1625"/>
    </row>
    <row r="3" spans="2:10" ht="18" x14ac:dyDescent="0.25">
      <c r="B3" s="1625" t="s">
        <v>660</v>
      </c>
      <c r="C3" s="1625"/>
      <c r="D3" s="1625"/>
      <c r="E3" s="1625"/>
      <c r="F3" s="1625"/>
      <c r="G3" s="1625"/>
      <c r="H3" s="1625"/>
      <c r="I3" s="1625"/>
      <c r="J3" s="1625"/>
    </row>
    <row r="4" spans="2:10" ht="18" x14ac:dyDescent="0.25">
      <c r="B4" s="1625" t="s">
        <v>73</v>
      </c>
      <c r="C4" s="1625"/>
      <c r="D4" s="1625"/>
      <c r="E4" s="1625"/>
      <c r="F4" s="1625"/>
      <c r="G4" s="1625"/>
      <c r="H4" s="1625"/>
      <c r="I4" s="1625"/>
      <c r="J4" s="1625"/>
    </row>
    <row r="5" spans="2:10" ht="18.75" thickBot="1" x14ac:dyDescent="0.3">
      <c r="B5" s="1037"/>
      <c r="C5" s="1037"/>
      <c r="D5" s="1037"/>
      <c r="E5" s="1037"/>
      <c r="F5" s="1037"/>
      <c r="G5" s="1037"/>
      <c r="H5" s="1037"/>
      <c r="I5" s="1037"/>
      <c r="J5" s="1037"/>
    </row>
    <row r="6" spans="2:10" ht="18.75" thickBot="1" x14ac:dyDescent="0.3">
      <c r="B6" s="1038" t="s">
        <v>172</v>
      </c>
      <c r="C6" s="1127">
        <f>'IPCT VNR_FA'!C27</f>
        <v>0.50979655790306455</v>
      </c>
      <c r="D6" s="1039"/>
      <c r="E6" s="1039"/>
      <c r="F6" s="1039"/>
      <c r="G6" s="1039"/>
      <c r="H6" s="1039"/>
      <c r="I6" s="1037"/>
      <c r="J6" s="1037"/>
    </row>
    <row r="7" spans="2:10" x14ac:dyDescent="0.2">
      <c r="B7" s="1040"/>
      <c r="C7" s="1040"/>
    </row>
    <row r="8" spans="2:10" ht="26.45" customHeight="1" x14ac:dyDescent="0.2">
      <c r="B8" s="1626" t="s">
        <v>24</v>
      </c>
      <c r="C8" s="1626" t="s">
        <v>17</v>
      </c>
      <c r="D8" s="1627" t="s">
        <v>12</v>
      </c>
      <c r="E8" s="1629" t="s">
        <v>661</v>
      </c>
      <c r="F8" s="1629"/>
      <c r="G8" s="1629"/>
      <c r="H8" s="1629"/>
    </row>
    <row r="9" spans="2:10" x14ac:dyDescent="0.2">
      <c r="B9" s="1626"/>
      <c r="C9" s="1626"/>
      <c r="D9" s="1628"/>
      <c r="E9" s="1041" t="s">
        <v>662</v>
      </c>
      <c r="F9" s="1041" t="s">
        <v>663</v>
      </c>
      <c r="G9" s="1041" t="s">
        <v>664</v>
      </c>
      <c r="H9" s="1041" t="s">
        <v>665</v>
      </c>
    </row>
    <row r="10" spans="2:10" ht="12.75" customHeight="1" x14ac:dyDescent="0.2">
      <c r="B10" s="1042"/>
      <c r="C10" s="1043"/>
      <c r="D10" s="1044"/>
      <c r="E10" s="1041" t="s">
        <v>812</v>
      </c>
      <c r="F10" s="1041" t="s">
        <v>813</v>
      </c>
      <c r="G10" s="1041" t="s">
        <v>814</v>
      </c>
      <c r="H10" s="1041" t="s">
        <v>815</v>
      </c>
    </row>
    <row r="11" spans="2:10" ht="12.75" customHeight="1" x14ac:dyDescent="0.2">
      <c r="B11" s="1045" t="str">
        <f>+[8]VNR2004!A7</f>
        <v xml:space="preserve"> Salidas de Conexión</v>
      </c>
      <c r="C11" s="1045"/>
      <c r="D11" s="1046"/>
      <c r="E11" s="1046"/>
      <c r="F11" s="1046"/>
      <c r="G11" s="1046"/>
      <c r="H11" s="1046"/>
    </row>
    <row r="12" spans="2:10" ht="12.75" customHeight="1" x14ac:dyDescent="0.2">
      <c r="B12" s="1047" t="str">
        <f>+'[9]CX cxj  '!A12</f>
        <v>CXS34.5 Barra Sencilla</v>
      </c>
      <c r="C12" s="59" t="str">
        <f>+'[9]CX cxj  '!B12</f>
        <v>Miles B/./Salida</v>
      </c>
      <c r="D12" s="1048">
        <f>SUM(E12:H12)</f>
        <v>2746.24</v>
      </c>
      <c r="E12" s="1048">
        <f>+'CX cxj Año1 '!Q12</f>
        <v>686.56</v>
      </c>
      <c r="F12" s="1048">
        <f>+'CX cxj Año2'!Q12</f>
        <v>686.56</v>
      </c>
      <c r="G12" s="1048">
        <f>+'CX cxj Año3'!Q12</f>
        <v>686.56</v>
      </c>
      <c r="H12" s="1048">
        <f>+'CX cxj Año4'!Q12</f>
        <v>686.56</v>
      </c>
    </row>
    <row r="13" spans="2:10" ht="12.75" customHeight="1" x14ac:dyDescent="0.2">
      <c r="B13" s="1047" t="str">
        <f>+'[9]CX cxj  '!A13</f>
        <v>CXS34.5 Interruptor y Medio</v>
      </c>
      <c r="C13" s="59" t="str">
        <f>+'[9]CX cxj  '!B13</f>
        <v>Miles B/./Salida</v>
      </c>
      <c r="D13" s="1048">
        <f t="shared" ref="D13:D30" si="0">SUM(E13:H13)</f>
        <v>10901.800000000001</v>
      </c>
      <c r="E13" s="1048">
        <f>+'CX cxj Año1 '!Q13</f>
        <v>2725.4500000000003</v>
      </c>
      <c r="F13" s="1048">
        <f>+'CX cxj Año2'!Q13</f>
        <v>2725.4500000000003</v>
      </c>
      <c r="G13" s="1048">
        <f>+'CX cxj Año3'!Q13</f>
        <v>2725.4500000000003</v>
      </c>
      <c r="H13" s="1048">
        <f>+'CX cxj Año4'!Q13</f>
        <v>2725.4500000000003</v>
      </c>
    </row>
    <row r="14" spans="2:10" ht="12.75" customHeight="1" x14ac:dyDescent="0.2">
      <c r="B14" s="1047" t="str">
        <f>+'[9]CX cxj  '!A14</f>
        <v>CXS115 Barra Sencilla</v>
      </c>
      <c r="C14" s="59" t="str">
        <f>+'[9]CX cxj  '!B14</f>
        <v>Miles B/./Salida</v>
      </c>
      <c r="D14" s="1048">
        <f t="shared" si="0"/>
        <v>608.64</v>
      </c>
      <c r="E14" s="1048">
        <f>+'CX cxj Año1 '!Q14</f>
        <v>152.16</v>
      </c>
      <c r="F14" s="1048">
        <f>+'CX cxj Año2'!Q14</f>
        <v>152.16</v>
      </c>
      <c r="G14" s="1048">
        <f>+'CX cxj Año3'!Q14</f>
        <v>152.16</v>
      </c>
      <c r="H14" s="1048">
        <f>+'CX cxj Año4'!Q14</f>
        <v>152.16</v>
      </c>
    </row>
    <row r="15" spans="2:10" ht="12.75" customHeight="1" x14ac:dyDescent="0.2">
      <c r="B15" s="1047" t="str">
        <f>+'[9]CX cxj  '!A15</f>
        <v>CXS115 Interruptor y Medio</v>
      </c>
      <c r="C15" s="59" t="str">
        <f>+'[9]CX cxj  '!B15</f>
        <v>Miles B/./Salida</v>
      </c>
      <c r="D15" s="1048">
        <f>SUM(E15:H15)</f>
        <v>2563.8000000000002</v>
      </c>
      <c r="E15" s="1048">
        <f>+'CX cxj Año1 '!Q15</f>
        <v>640.95000000000005</v>
      </c>
      <c r="F15" s="1048">
        <f>+'CX cxj Año2'!Q15</f>
        <v>640.95000000000005</v>
      </c>
      <c r="G15" s="1048">
        <f>+'CX cxj Año3'!Q15</f>
        <v>640.95000000000005</v>
      </c>
      <c r="H15" s="1048">
        <f>+'CX cxj Año4'!Q15</f>
        <v>640.95000000000005</v>
      </c>
    </row>
    <row r="16" spans="2:10" ht="12.75" customHeight="1" x14ac:dyDescent="0.2">
      <c r="B16" s="1047" t="str">
        <f>+'[9]CX cxj  '!A16</f>
        <v>CXS115 Interruptor y 1/2 con 1IP</v>
      </c>
      <c r="C16" s="59" t="str">
        <f>+'[9]CX cxj  '!B16</f>
        <v>Miles B/./Salida</v>
      </c>
      <c r="D16" s="1048">
        <f t="shared" si="0"/>
        <v>0</v>
      </c>
      <c r="E16" s="1048">
        <f>+'CX cxj Año1 '!Q16</f>
        <v>0</v>
      </c>
      <c r="F16" s="1048">
        <f>+'CX cxj Año2'!Q16</f>
        <v>0</v>
      </c>
      <c r="G16" s="1048">
        <f>+'CX cxj Año3'!Q16</f>
        <v>0</v>
      </c>
      <c r="H16" s="1048">
        <f>+'CX cxj Año4'!Q16</f>
        <v>0</v>
      </c>
    </row>
    <row r="17" spans="2:13" ht="12.75" customHeight="1" x14ac:dyDescent="0.2">
      <c r="B17" s="1047" t="str">
        <f>+'[9]CX cxj  '!A17</f>
        <v>CXS230 Barras Sencillas</v>
      </c>
      <c r="C17" s="59" t="str">
        <f>+'[9]CX cxj  '!B17</f>
        <v>Miles B/./Salida</v>
      </c>
      <c r="D17" s="1048">
        <f t="shared" si="0"/>
        <v>0</v>
      </c>
      <c r="E17" s="1048">
        <f>+'CX cxj Año1 '!Q17</f>
        <v>0</v>
      </c>
      <c r="F17" s="1048">
        <f>+'CX cxj Año2'!Q17</f>
        <v>0</v>
      </c>
      <c r="G17" s="1048">
        <f>+'CX cxj Año3'!Q17</f>
        <v>0</v>
      </c>
      <c r="H17" s="1048">
        <f>+'CX cxj Año4'!Q17</f>
        <v>0</v>
      </c>
    </row>
    <row r="18" spans="2:13" ht="12.75" customHeight="1" x14ac:dyDescent="0.2">
      <c r="B18" s="1047" t="str">
        <f>+'[9]CX cxj  '!A18</f>
        <v>CXS230 Interruptor y Medio</v>
      </c>
      <c r="C18" s="59" t="str">
        <f>+'[9]CX cxj  '!B18</f>
        <v>Miles B/./Salida</v>
      </c>
      <c r="D18" s="1048">
        <f>SUM(E18:H18)</f>
        <v>12765.36</v>
      </c>
      <c r="E18" s="1048">
        <f>+'CX cxj Año1 '!Q18</f>
        <v>2797.36</v>
      </c>
      <c r="F18" s="1048">
        <f>+'CX cxj Año2'!Q18</f>
        <v>2867.8150000000001</v>
      </c>
      <c r="G18" s="1048">
        <f>+'CX cxj Año3'!Q18</f>
        <v>3346.1850000000004</v>
      </c>
      <c r="H18" s="1048">
        <f>+'CX cxj Año4'!Q18</f>
        <v>3754</v>
      </c>
    </row>
    <row r="19" spans="2:13" ht="12.75" customHeight="1" x14ac:dyDescent="0.2">
      <c r="B19" s="1049" t="s">
        <v>168</v>
      </c>
      <c r="C19" s="59" t="s">
        <v>666</v>
      </c>
      <c r="D19" s="1048">
        <f t="shared" si="0"/>
        <v>0</v>
      </c>
      <c r="E19" s="1048">
        <f>+'CX cxj Año1 '!Q19</f>
        <v>0</v>
      </c>
      <c r="F19" s="1048">
        <f>+'CX cxj Año2'!Q19</f>
        <v>0</v>
      </c>
      <c r="G19" s="1048">
        <f>+'CX cxj Año3'!Q19</f>
        <v>0</v>
      </c>
      <c r="H19" s="1048">
        <f>+'CX cxj Año4'!Q19</f>
        <v>0</v>
      </c>
      <c r="J19" s="1050"/>
    </row>
    <row r="20" spans="2:13" ht="12.75" customHeight="1" x14ac:dyDescent="0.2">
      <c r="B20" s="1045" t="str">
        <f>+'[9]CX cxj  '!A19</f>
        <v>Transformadores</v>
      </c>
      <c r="C20" s="59"/>
      <c r="D20" s="1048">
        <f t="shared" si="0"/>
        <v>0</v>
      </c>
      <c r="E20" s="1048">
        <f>+'CX cxj Año1 '!Q20</f>
        <v>0</v>
      </c>
      <c r="F20" s="1048">
        <f>+'CX cxj Año2'!Q20</f>
        <v>0</v>
      </c>
      <c r="G20" s="1048">
        <f>+'CX cxj Año3'!Q20</f>
        <v>0</v>
      </c>
      <c r="H20" s="1048">
        <f>+'CX cxj Año4'!Q20</f>
        <v>0</v>
      </c>
    </row>
    <row r="21" spans="2:13" ht="12.75" customHeight="1" x14ac:dyDescent="0.2">
      <c r="B21" s="1047" t="str">
        <f>+'[9]CX cxj  '!A21</f>
        <v>CXTR Reductor 60/80/100 MVA</v>
      </c>
      <c r="C21" s="59" t="str">
        <f>+'[9]CX cxj  '!B21</f>
        <v>Miles B/./MVA</v>
      </c>
      <c r="D21" s="1048">
        <f t="shared" si="0"/>
        <v>1544</v>
      </c>
      <c r="E21" s="1048">
        <f>+'CX cxj Año1 '!Q21</f>
        <v>386</v>
      </c>
      <c r="F21" s="1048">
        <f>+'CX cxj Año2'!Q21</f>
        <v>386</v>
      </c>
      <c r="G21" s="1048">
        <f>+'CX cxj Año3'!Q21</f>
        <v>386</v>
      </c>
      <c r="H21" s="1048">
        <f>+'CX cxj Año4'!Q21</f>
        <v>386</v>
      </c>
    </row>
    <row r="22" spans="2:13" ht="12.75" customHeight="1" x14ac:dyDescent="0.2">
      <c r="B22" s="1047" t="str">
        <f>+'[9]CX cxj  '!A22</f>
        <v>CXTR Reductor 42/56/70 MVA</v>
      </c>
      <c r="C22" s="59" t="str">
        <f>+'[9]CX cxj  '!B22</f>
        <v>Miles B/./MVA</v>
      </c>
      <c r="D22" s="1048">
        <f t="shared" si="0"/>
        <v>1484</v>
      </c>
      <c r="E22" s="1048">
        <f>+'CX cxj Año1 '!Q22</f>
        <v>371</v>
      </c>
      <c r="F22" s="1048">
        <f>+'CX cxj Año2'!Q22</f>
        <v>371</v>
      </c>
      <c r="G22" s="1048">
        <f>+'CX cxj Año3'!Q22</f>
        <v>371</v>
      </c>
      <c r="H22" s="1048">
        <f>+'CX cxj Año4'!Q22</f>
        <v>371</v>
      </c>
    </row>
    <row r="23" spans="2:13" ht="12.75" customHeight="1" x14ac:dyDescent="0.2">
      <c r="B23" s="1047" t="str">
        <f>+'[9]CX cxj  '!A23</f>
        <v>CXTR Reductor 30/40/50 MVA</v>
      </c>
      <c r="C23" s="59" t="str">
        <f>+'[9]CX cxj  '!B23</f>
        <v>Miles B/./MVA</v>
      </c>
      <c r="D23" s="1048">
        <f t="shared" si="0"/>
        <v>1136</v>
      </c>
      <c r="E23" s="1048">
        <f>+'CX cxj Año1 '!Q23</f>
        <v>284</v>
      </c>
      <c r="F23" s="1048">
        <f>+'CX cxj Año2'!Q23</f>
        <v>284</v>
      </c>
      <c r="G23" s="1048">
        <f>+'CX cxj Año3'!Q23</f>
        <v>284</v>
      </c>
      <c r="H23" s="1048">
        <f>+'CX cxj Año4'!Q23</f>
        <v>284</v>
      </c>
    </row>
    <row r="24" spans="2:13" ht="12.75" customHeight="1" x14ac:dyDescent="0.2">
      <c r="B24" s="1047" t="str">
        <f>+'[9]CX cxj  '!A24</f>
        <v>CXTR Reductor 20/24 MVA</v>
      </c>
      <c r="C24" s="59" t="str">
        <f>+'[9]CX cxj  '!B24</f>
        <v>Miles B/./MVA</v>
      </c>
      <c r="D24" s="1048">
        <f t="shared" si="0"/>
        <v>0</v>
      </c>
      <c r="E24" s="1048">
        <f>+'CX cxj Año1 '!Q24</f>
        <v>0</v>
      </c>
      <c r="F24" s="1048">
        <f>+'CX cxj Año2'!Q24</f>
        <v>0</v>
      </c>
      <c r="G24" s="1048">
        <f>+'CX cxj Año3'!Q24</f>
        <v>0</v>
      </c>
      <c r="H24" s="1048">
        <f>+'CX cxj Año4'!Q24</f>
        <v>0</v>
      </c>
    </row>
    <row r="25" spans="2:13" ht="12.75" customHeight="1" x14ac:dyDescent="0.2">
      <c r="B25" s="1045" t="str">
        <f>+'[9]CX cxj  '!A25</f>
        <v>Líneas</v>
      </c>
      <c r="C25" s="59"/>
      <c r="D25" s="1048">
        <f t="shared" si="0"/>
        <v>0</v>
      </c>
      <c r="E25" s="1048">
        <f>+'CX cxj Año1 '!Q25</f>
        <v>0</v>
      </c>
      <c r="F25" s="1048">
        <f>+'CX cxj Año2'!Q25</f>
        <v>0</v>
      </c>
      <c r="G25" s="1048">
        <f>+'CX cxj Año3'!Q25</f>
        <v>0</v>
      </c>
      <c r="H25" s="1048">
        <f>+'CX cxj Año4'!Q25</f>
        <v>0</v>
      </c>
    </row>
    <row r="26" spans="2:13" ht="12.75" customHeight="1" x14ac:dyDescent="0.2">
      <c r="B26" s="1047" t="str">
        <f>+'[9]CX cxj  '!A26</f>
        <v>CXL 115 KV Circuito Sencillo</v>
      </c>
      <c r="C26" s="59" t="str">
        <f>+'[9]CX cxj  '!B26</f>
        <v>Miles B/./km</v>
      </c>
      <c r="D26" s="1048">
        <f t="shared" si="0"/>
        <v>2060.54</v>
      </c>
      <c r="E26" s="1048">
        <f>+'CX cxj Año1 '!Q26</f>
        <v>515.13499999999999</v>
      </c>
      <c r="F26" s="1048">
        <f>+'CX cxj Año2'!Q26</f>
        <v>515.13499999999999</v>
      </c>
      <c r="G26" s="1048">
        <f>+'CX cxj Año3'!Q26</f>
        <v>515.13499999999999</v>
      </c>
      <c r="H26" s="1048">
        <f>+'CX cxj Año4'!Q26</f>
        <v>515.13499999999999</v>
      </c>
    </row>
    <row r="27" spans="2:13" ht="12.75" customHeight="1" x14ac:dyDescent="0.25">
      <c r="B27" s="1047" t="str">
        <f>+'[9]CX cxj  '!A27</f>
        <v>CXL 115 KV Doble Circuito</v>
      </c>
      <c r="C27" s="59" t="str">
        <f>+'[9]CX cxj  '!B27</f>
        <v>Miles B/./km</v>
      </c>
      <c r="D27" s="1048">
        <f t="shared" si="0"/>
        <v>0</v>
      </c>
      <c r="E27" s="1048">
        <f>+'CX cxj Año1 '!Q27</f>
        <v>0</v>
      </c>
      <c r="F27" s="1048">
        <f>+'CX cxj Año2'!Q27</f>
        <v>0</v>
      </c>
      <c r="G27" s="1048">
        <f>+'CX cxj Año3'!Q27</f>
        <v>0</v>
      </c>
      <c r="H27" s="1048">
        <f>+'CX cxj Año4'!Q27</f>
        <v>0</v>
      </c>
      <c r="M27" s="1051"/>
    </row>
    <row r="28" spans="2:13" ht="12.75" customHeight="1" x14ac:dyDescent="0.25">
      <c r="B28" s="1047" t="str">
        <f>+'[9]CX cxj  '!A28</f>
        <v>CXL 230 KV Circuito Sencillo 750 ACAR</v>
      </c>
      <c r="C28" s="59" t="str">
        <f>+'[9]CX cxj  '!B28</f>
        <v>Miles B/./km</v>
      </c>
      <c r="D28" s="1048"/>
      <c r="E28" s="1048"/>
      <c r="F28" s="1048"/>
      <c r="G28" s="1048"/>
      <c r="H28" s="1048"/>
      <c r="M28" s="1051"/>
    </row>
    <row r="29" spans="2:13" ht="12.75" customHeight="1" x14ac:dyDescent="0.25">
      <c r="B29" s="1047" t="str">
        <f>+'[9]CX cxj  '!A29</f>
        <v>CXL 230 KV Doble Circuito 1200 ACAR</v>
      </c>
      <c r="C29" s="265" t="str">
        <f>+'[9]CX cxj  '!B29</f>
        <v>Miles B/./km</v>
      </c>
      <c r="D29" s="1048"/>
      <c r="E29" s="1048"/>
      <c r="F29" s="1048"/>
      <c r="G29" s="1048"/>
      <c r="H29" s="1048"/>
      <c r="M29" s="1051"/>
    </row>
    <row r="30" spans="2:13" ht="12.75" customHeight="1" x14ac:dyDescent="0.25">
      <c r="B30" s="1047" t="str">
        <f>+'CX cxj Año4'!A32</f>
        <v>CXL 230 KV Circuito Doble ACCC 1026</v>
      </c>
      <c r="C30" s="59" t="s">
        <v>136</v>
      </c>
      <c r="D30" s="1048">
        <f t="shared" si="0"/>
        <v>11577.891</v>
      </c>
      <c r="E30" s="1048">
        <f>+'CX cxj Año1 '!Q32</f>
        <v>0</v>
      </c>
      <c r="F30" s="1048">
        <f>+'CX cxj Año2'!Q32</f>
        <v>3859.2969999999996</v>
      </c>
      <c r="G30" s="1048">
        <f>+'CX cxj Año3'!Q32</f>
        <v>3859.2969999999996</v>
      </c>
      <c r="H30" s="1048">
        <f>+'CX cxj Año4'!Q32</f>
        <v>3859.2969999999996</v>
      </c>
      <c r="M30" s="1051"/>
    </row>
    <row r="31" spans="2:13" ht="6" customHeight="1" thickBot="1" x14ac:dyDescent="0.3">
      <c r="B31" s="1054"/>
      <c r="C31" s="1052"/>
      <c r="D31" s="1053"/>
      <c r="E31" s="1053"/>
      <c r="F31" s="1053"/>
      <c r="G31" s="1053"/>
      <c r="H31" s="1055"/>
      <c r="M31" s="1051"/>
    </row>
    <row r="32" spans="2:13" ht="18.75" thickBot="1" x14ac:dyDescent="0.3">
      <c r="B32" s="1056" t="s">
        <v>667</v>
      </c>
      <c r="C32" s="1057"/>
      <c r="D32" s="1058">
        <f>SUM(D12:D29)</f>
        <v>35810.379999999997</v>
      </c>
      <c r="E32" s="1059">
        <f>SUM(E12:E31)</f>
        <v>8558.6149999999998</v>
      </c>
      <c r="F32" s="1059">
        <f>SUM(F12:F30)</f>
        <v>12488.366999999998</v>
      </c>
      <c r="G32" s="1058">
        <f>SUM(G12:G30)</f>
        <v>12966.737000000001</v>
      </c>
      <c r="H32" s="1060">
        <f>SUM(H12:H30)</f>
        <v>13374.552</v>
      </c>
      <c r="M32" s="1051"/>
    </row>
    <row r="33" spans="2:13" ht="13.5" thickBot="1" x14ac:dyDescent="0.25">
      <c r="B33" s="1061"/>
      <c r="C33" s="1062"/>
      <c r="D33" s="1063"/>
      <c r="E33" s="1064"/>
      <c r="F33" s="1064"/>
      <c r="G33" s="1064"/>
      <c r="H33" s="1064"/>
    </row>
    <row r="34" spans="2:13" x14ac:dyDescent="0.2">
      <c r="B34" s="1065" t="s">
        <v>870</v>
      </c>
      <c r="C34" s="1066"/>
      <c r="D34" s="1067">
        <f>SUM(E34:H34)</f>
        <v>14954.979146773772</v>
      </c>
      <c r="E34" s="1067">
        <v>2454.2172037816881</v>
      </c>
      <c r="F34" s="1067">
        <v>3030.8756996596976</v>
      </c>
      <c r="G34" s="1067">
        <v>4304.7908773090367</v>
      </c>
      <c r="H34" s="1068">
        <v>5165.0953660233499</v>
      </c>
    </row>
    <row r="35" spans="2:13" x14ac:dyDescent="0.2">
      <c r="B35" s="1069" t="s">
        <v>144</v>
      </c>
      <c r="C35" s="1070"/>
      <c r="D35" s="1071"/>
      <c r="E35" s="1072">
        <f>+'IMP Existente APROBADO'!E80</f>
        <v>0.96538409413446868</v>
      </c>
      <c r="F35" s="1072">
        <f>+'IMP Existente APROBADO'!F80</f>
        <v>0.89970558633221687</v>
      </c>
      <c r="G35" s="1072">
        <f>+'IMP Existente APROBADO'!G80</f>
        <v>0.83849542062648363</v>
      </c>
      <c r="H35" s="1072">
        <f>+'IMP Existente APROBADO'!H80</f>
        <v>0.78144959983828866</v>
      </c>
    </row>
    <row r="36" spans="2:13" x14ac:dyDescent="0.2">
      <c r="B36" s="1073" t="s">
        <v>668</v>
      </c>
      <c r="C36" s="1074"/>
      <c r="D36" s="1075">
        <f>SUM(E36:H36)</f>
        <v>40822.292246271958</v>
      </c>
      <c r="E36" s="1075">
        <f>+E32*E35</f>
        <v>8262.350788820675</v>
      </c>
      <c r="F36" s="1075">
        <f>+F32*F35</f>
        <v>11235.853554066907</v>
      </c>
      <c r="G36" s="1075">
        <f>+G32*G35</f>
        <v>10872.54959496799</v>
      </c>
      <c r="H36" s="1076">
        <f>+H32*H35</f>
        <v>10451.538308416382</v>
      </c>
    </row>
    <row r="37" spans="2:13" x14ac:dyDescent="0.2">
      <c r="B37" s="1073" t="s">
        <v>870</v>
      </c>
      <c r="C37" s="1074"/>
      <c r="D37" s="1075">
        <f>SUM(E37:H37)</f>
        <v>40010.623317117104</v>
      </c>
      <c r="E37" s="1075">
        <f>+'IMP Existente APROBADO'!E86</f>
        <v>5369.2057596815175</v>
      </c>
      <c r="F37" s="1075">
        <f>+'IMP Existente APROBADO'!F86</f>
        <v>9580.1416799474046</v>
      </c>
      <c r="G37" s="1075">
        <f>+'IMP Existente APROBADO'!G86</f>
        <v>12056.974394264396</v>
      </c>
      <c r="H37" s="1075">
        <f>+'IMP Existente APROBADO'!H86</f>
        <v>13004.301483223784</v>
      </c>
    </row>
    <row r="38" spans="2:13" x14ac:dyDescent="0.2">
      <c r="B38" s="1077"/>
      <c r="C38" s="1078"/>
      <c r="D38" s="1048"/>
      <c r="E38" s="1048"/>
      <c r="F38" s="1048"/>
      <c r="G38" s="1048"/>
      <c r="H38" s="1079"/>
    </row>
    <row r="39" spans="2:13" x14ac:dyDescent="0.2">
      <c r="B39" s="1080" t="s">
        <v>669</v>
      </c>
      <c r="C39" s="1081"/>
      <c r="D39" s="1539">
        <f>+(D36-D37)/1000</f>
        <v>0.81166892915485367</v>
      </c>
      <c r="E39" s="1082"/>
      <c r="F39" s="1082"/>
      <c r="G39" s="1082"/>
      <c r="H39" s="1083"/>
    </row>
    <row r="40" spans="2:13" x14ac:dyDescent="0.2">
      <c r="B40" s="1080" t="s">
        <v>670</v>
      </c>
      <c r="C40" s="1081"/>
      <c r="D40" s="1255">
        <f>+D39*1000/D37</f>
        <v>2.0286335524485829E-2</v>
      </c>
      <c r="E40" s="1084"/>
      <c r="F40" s="1085"/>
      <c r="G40" s="1085"/>
      <c r="H40" s="1086"/>
    </row>
    <row r="41" spans="2:13" ht="13.5" thickBot="1" x14ac:dyDescent="0.25">
      <c r="B41" s="1087"/>
      <c r="C41" s="1088"/>
      <c r="D41" s="1089"/>
      <c r="E41" s="1089"/>
      <c r="F41" s="1089"/>
      <c r="G41" s="1089"/>
      <c r="H41" s="1090"/>
    </row>
    <row r="43" spans="2:13" x14ac:dyDescent="0.2">
      <c r="B43" s="1091"/>
      <c r="F43" s="1092"/>
    </row>
    <row r="44" spans="2:13" ht="12.75" customHeight="1" x14ac:dyDescent="0.2">
      <c r="D44" s="1050"/>
      <c r="E44" s="1093"/>
      <c r="F44" s="1094"/>
      <c r="G44" s="1095"/>
      <c r="H44" s="1095"/>
      <c r="I44" s="1095"/>
      <c r="J44" s="1095"/>
    </row>
    <row r="45" spans="2:13" ht="15" x14ac:dyDescent="0.2">
      <c r="D45" s="1097"/>
      <c r="F45" s="1094"/>
      <c r="G45" s="1096"/>
      <c r="H45" s="1096"/>
    </row>
    <row r="46" spans="2:13" ht="18" x14ac:dyDescent="0.25">
      <c r="D46" s="1097"/>
      <c r="G46" s="1037"/>
      <c r="H46" s="1097"/>
      <c r="I46" s="1098"/>
      <c r="J46" s="1099"/>
      <c r="K46" s="1099"/>
      <c r="L46" s="1099"/>
      <c r="M46" s="1099"/>
    </row>
    <row r="47" spans="2:13" ht="18" x14ac:dyDescent="0.25">
      <c r="G47" s="1037"/>
      <c r="H47" s="1097"/>
    </row>
    <row r="48" spans="2:13" x14ac:dyDescent="0.2">
      <c r="B48" s="1100"/>
      <c r="C48" s="1100"/>
      <c r="D48" s="1100"/>
      <c r="E48" s="1100"/>
      <c r="F48" s="1100"/>
      <c r="G48" s="1100"/>
      <c r="H48" s="1101"/>
      <c r="I48" s="1100"/>
      <c r="J48" s="1100"/>
      <c r="K48" s="1100"/>
      <c r="L48" s="1100"/>
      <c r="M48" s="1100"/>
    </row>
    <row r="49" spans="2:3" ht="15.75" x14ac:dyDescent="0.25">
      <c r="B49" s="1624" t="s">
        <v>96</v>
      </c>
      <c r="C49" s="1624"/>
    </row>
    <row r="50" spans="2:3" ht="16.5" thickBot="1" x14ac:dyDescent="0.3">
      <c r="B50" s="1624" t="s">
        <v>660</v>
      </c>
      <c r="C50" s="1624"/>
    </row>
    <row r="51" spans="2:3" ht="30.75" thickBot="1" x14ac:dyDescent="0.25">
      <c r="B51" s="1102" t="s">
        <v>32</v>
      </c>
      <c r="C51" s="1102" t="s">
        <v>671</v>
      </c>
    </row>
    <row r="52" spans="2:3" x14ac:dyDescent="0.2">
      <c r="B52" s="1103" t="s">
        <v>672</v>
      </c>
      <c r="C52" s="1104">
        <f>+D36</f>
        <v>40822.292246271958</v>
      </c>
    </row>
    <row r="53" spans="2:3" ht="15" x14ac:dyDescent="0.35">
      <c r="B53" s="1105" t="s">
        <v>871</v>
      </c>
      <c r="C53" s="1106">
        <f>+D37</f>
        <v>40010.623317117104</v>
      </c>
    </row>
    <row r="54" spans="2:3" ht="13.5" thickBot="1" x14ac:dyDescent="0.25">
      <c r="B54" s="1107" t="s">
        <v>673</v>
      </c>
      <c r="C54" s="1108">
        <f>+C53-C52</f>
        <v>-811.66892915485369</v>
      </c>
    </row>
    <row r="55" spans="2:3" ht="16.5" thickBot="1" x14ac:dyDescent="0.3">
      <c r="B55" s="1102" t="s">
        <v>674</v>
      </c>
      <c r="C55" s="1109">
        <f>+C54/C52</f>
        <v>-1.9882982666878005E-2</v>
      </c>
    </row>
  </sheetData>
  <mergeCells count="10">
    <mergeCell ref="B49:C49"/>
    <mergeCell ref="B50:C50"/>
    <mergeCell ref="B1:J1"/>
    <mergeCell ref="B2:J2"/>
    <mergeCell ref="B3:J3"/>
    <mergeCell ref="B4:J4"/>
    <mergeCell ref="B8:B9"/>
    <mergeCell ref="C8:C9"/>
    <mergeCell ref="D8:D9"/>
    <mergeCell ref="E8:H8"/>
  </mergeCells>
  <printOptions horizontalCentered="1" verticalCentered="1"/>
  <pageMargins left="0.62992125984251968" right="0.62992125984251968" top="1" bottom="1.3779527559055118" header="0" footer="1.0629921259842521"/>
  <pageSetup scale="80" orientation="landscape" horizontalDpi="300" verticalDpi="300" r:id="rId1"/>
  <headerFooter alignWithMargins="0">
    <oddHeader>&amp;F</oddHeader>
    <oddFooter>&amp;L&amp;8HOJA: 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Z97"/>
  <sheetViews>
    <sheetView topLeftCell="A4" zoomScale="77" zoomScaleNormal="77" zoomScaleSheetLayoutView="40" workbookViewId="0">
      <selection activeCell="D11" sqref="D11"/>
    </sheetView>
  </sheetViews>
  <sheetFormatPr baseColWidth="10" defaultRowHeight="15" x14ac:dyDescent="0.2"/>
  <cols>
    <col min="1" max="1" width="3.42578125" customWidth="1"/>
    <col min="2" max="2" width="52.7109375" customWidth="1"/>
    <col min="3" max="3" width="24.7109375" customWidth="1"/>
    <col min="4" max="4" width="15.28515625" customWidth="1"/>
    <col min="5" max="5" width="16.28515625" customWidth="1"/>
    <col min="6" max="6" width="13.42578125" style="847" customWidth="1"/>
    <col min="7" max="7" width="18" customWidth="1"/>
    <col min="8" max="8" width="14.42578125" customWidth="1"/>
    <col min="9" max="9" width="17.28515625" style="70" customWidth="1"/>
    <col min="10" max="10" width="12.140625" style="70" customWidth="1"/>
    <col min="11" max="11" width="15.7109375" style="70" customWidth="1"/>
    <col min="12" max="12" width="22.28515625" style="70" customWidth="1"/>
    <col min="13" max="13" width="15.28515625" style="70" customWidth="1"/>
    <col min="14" max="14" width="20" customWidth="1"/>
    <col min="15" max="15" width="18" customWidth="1"/>
    <col min="16" max="16" width="11.85546875" customWidth="1"/>
    <col min="17" max="17" width="19" customWidth="1"/>
    <col min="18" max="18" width="21.140625" bestFit="1" customWidth="1"/>
    <col min="19" max="19" width="8.85546875" customWidth="1"/>
    <col min="20" max="20" width="22.7109375" customWidth="1"/>
    <col min="21" max="21" width="17.7109375" customWidth="1"/>
    <col min="23" max="23" width="16.85546875" customWidth="1"/>
    <col min="24" max="24" width="18.42578125" customWidth="1"/>
    <col min="26" max="26" width="18.5703125" customWidth="1"/>
  </cols>
  <sheetData>
    <row r="1" spans="2:8" ht="21" customHeight="1" thickBot="1" x14ac:dyDescent="0.3">
      <c r="B1" s="1630" t="s">
        <v>129</v>
      </c>
      <c r="C1" s="1630"/>
      <c r="D1" s="1630"/>
      <c r="E1" s="1630"/>
      <c r="F1" s="1630"/>
      <c r="G1" s="1630"/>
    </row>
    <row r="2" spans="2:8" ht="13.5" customHeight="1" thickBot="1" x14ac:dyDescent="0.25">
      <c r="B2" s="1631" t="s">
        <v>0</v>
      </c>
      <c r="C2" s="1633" t="s">
        <v>1</v>
      </c>
      <c r="D2" s="641" t="s">
        <v>173</v>
      </c>
      <c r="E2" s="261" t="s">
        <v>71</v>
      </c>
      <c r="F2" s="846"/>
    </row>
    <row r="3" spans="2:8" x14ac:dyDescent="0.2">
      <c r="B3" s="1632"/>
      <c r="C3" s="1634"/>
      <c r="D3" s="231" t="s">
        <v>9</v>
      </c>
      <c r="E3" s="260"/>
      <c r="G3" s="70"/>
    </row>
    <row r="4" spans="2:8" x14ac:dyDescent="0.2">
      <c r="B4" s="214" t="s">
        <v>3</v>
      </c>
      <c r="C4" s="225"/>
      <c r="D4" s="109"/>
      <c r="E4" s="67"/>
      <c r="G4" s="70"/>
    </row>
    <row r="5" spans="2:8" x14ac:dyDescent="0.2">
      <c r="B5" s="215" t="s">
        <v>86</v>
      </c>
      <c r="C5" s="178">
        <f>(+'SALIDAS Y TRANSFORMACION'!E61+'SALIDAS Y TRANSFORMACION'!E62)/1000</f>
        <v>7578.4810921140579</v>
      </c>
      <c r="D5" s="105">
        <f>+'SALIDAS Y TRANSFORMACION'!D62+'SALIDAS Y TRANSFORMACION'!D61</f>
        <v>3</v>
      </c>
      <c r="E5" s="229">
        <f>+C5/D5</f>
        <v>2526.1603640380195</v>
      </c>
      <c r="G5" s="108"/>
    </row>
    <row r="6" spans="2:8" x14ac:dyDescent="0.2">
      <c r="B6" s="215" t="s">
        <v>87</v>
      </c>
      <c r="C6" s="226">
        <f>(+'SALIDAS Y TRANSFORMACION'!E63+'SALIDAS Y TRANSFORMACION'!E64+'SALIDAS Y TRANSFORMACION'!E65)/1000</f>
        <v>38660.98630077891</v>
      </c>
      <c r="D6" s="105">
        <f>+'SALIDAS Y TRANSFORMACION'!D63+'SALIDAS Y TRANSFORMACION'!D64+'SALIDAS Y TRANSFORMACION'!D65</f>
        <v>13</v>
      </c>
      <c r="E6" s="229">
        <f>+C6/D6</f>
        <v>2973.922023136839</v>
      </c>
      <c r="G6" s="108"/>
      <c r="H6" s="29"/>
    </row>
    <row r="7" spans="2:8" x14ac:dyDescent="0.2">
      <c r="B7" s="215" t="s">
        <v>88</v>
      </c>
      <c r="C7" s="226">
        <f>(+'SALIDAS Y TRANSFORMACION'!E55+'SALIDAS Y TRANSFORMACION'!E57+'SALIDAS Y TRANSFORMACION'!E58)/1000</f>
        <v>2158.3127379330022</v>
      </c>
      <c r="D7" s="105">
        <f>+'SALIDAS Y TRANSFORMACION'!D55+'SALIDAS Y TRANSFORMACION'!D57+'SALIDAS Y TRANSFORMACION'!D58</f>
        <v>3</v>
      </c>
      <c r="E7" s="229">
        <f>+C7/D7</f>
        <v>719.43757931100072</v>
      </c>
      <c r="G7" s="108"/>
      <c r="H7" s="29"/>
    </row>
    <row r="8" spans="2:8" x14ac:dyDescent="0.2">
      <c r="B8" s="215" t="s">
        <v>89</v>
      </c>
      <c r="C8" s="226">
        <f>(+'SALIDAS Y TRANSFORMACION'!E54)/1000</f>
        <v>9091.9350774996201</v>
      </c>
      <c r="D8" s="105">
        <f>+'SALIDAS Y TRANSFORMACION'!D54</f>
        <v>3</v>
      </c>
      <c r="E8" s="229">
        <f>+C8/D8</f>
        <v>3030.6450258332065</v>
      </c>
      <c r="G8" s="108"/>
    </row>
    <row r="9" spans="2:8" x14ac:dyDescent="0.2">
      <c r="B9" s="215" t="s">
        <v>98</v>
      </c>
      <c r="C9" s="226"/>
      <c r="D9" s="105"/>
      <c r="E9" s="229"/>
      <c r="G9" s="108"/>
    </row>
    <row r="10" spans="2:8" x14ac:dyDescent="0.2">
      <c r="B10" s="215" t="s">
        <v>99</v>
      </c>
      <c r="C10" s="226"/>
      <c r="D10" s="105"/>
      <c r="E10" s="229" t="s">
        <v>11</v>
      </c>
      <c r="G10" s="108"/>
    </row>
    <row r="11" spans="2:8" x14ac:dyDescent="0.2">
      <c r="B11" s="215" t="s">
        <v>90</v>
      </c>
      <c r="C11" s="226">
        <f>(+'SALIDAS Y TRANSFORMACION'!E46+'SALIDAS Y TRANSFORMACION'!E48+'SALIDAS Y TRANSFORMACION'!E47+'SALIDAS Y TRANSFORMACION'!E50+'SALIDAS Y TRANSFORMACION'!E51)/1000</f>
        <v>31279.677890980722</v>
      </c>
      <c r="D11" s="105">
        <f>+'SALIDAS Y TRANSFORMACION'!D46+'SALIDAS Y TRANSFORMACION'!D48+'SALIDAS Y TRANSFORMACION'!D47+'SALIDAS Y TRANSFORMACION'!D50+'SALIDAS Y TRANSFORMACION'!D51</f>
        <v>7</v>
      </c>
      <c r="E11" s="229">
        <f>+C11/D11</f>
        <v>4468.5254129972463</v>
      </c>
      <c r="G11" s="108"/>
      <c r="H11" s="29"/>
    </row>
    <row r="12" spans="2:8" x14ac:dyDescent="0.2">
      <c r="B12" s="215" t="s">
        <v>168</v>
      </c>
      <c r="C12" s="226"/>
      <c r="D12" s="105"/>
      <c r="E12" s="229"/>
      <c r="G12" s="108"/>
    </row>
    <row r="13" spans="2:8" x14ac:dyDescent="0.2">
      <c r="B13" s="215" t="s">
        <v>176</v>
      </c>
      <c r="C13" s="226"/>
      <c r="D13" s="105"/>
      <c r="E13" s="229"/>
      <c r="G13" s="108"/>
    </row>
    <row r="14" spans="2:8" x14ac:dyDescent="0.2">
      <c r="B14" s="222" t="s">
        <v>4</v>
      </c>
      <c r="C14" s="226"/>
      <c r="D14" s="105"/>
      <c r="E14" s="229"/>
      <c r="G14" s="108"/>
    </row>
    <row r="15" spans="2:8" x14ac:dyDescent="0.2">
      <c r="B15" s="223" t="str">
        <f>+B45</f>
        <v>CXTR Reductor 60/80/100 MVA</v>
      </c>
      <c r="C15" s="226">
        <f>(+'SALIDAS Y TRANSFORMACION'!E38+'SALIDAS Y TRANSFORMACION'!E40)/1000</f>
        <v>5462.0117602370328</v>
      </c>
      <c r="D15" s="105">
        <v>200</v>
      </c>
      <c r="E15" s="229">
        <f>+C15/D15</f>
        <v>27.310058801185164</v>
      </c>
      <c r="G15" s="108"/>
    </row>
    <row r="16" spans="2:8" x14ac:dyDescent="0.2">
      <c r="B16" s="216" t="s">
        <v>5</v>
      </c>
      <c r="C16" s="226">
        <f>+'SALIDAS Y TRANSFORMACION'!E39/1000</f>
        <v>5259.3836863563238</v>
      </c>
      <c r="D16" s="642">
        <v>140</v>
      </c>
      <c r="E16" s="229">
        <f>+C16/D16</f>
        <v>37.567026331116601</v>
      </c>
      <c r="G16" s="108"/>
      <c r="H16" s="24"/>
    </row>
    <row r="17" spans="2:26" x14ac:dyDescent="0.2">
      <c r="B17" s="216" t="s">
        <v>6</v>
      </c>
      <c r="C17" s="226">
        <f>(+'SALIDAS Y TRANSFORMACION'!E41)/1000</f>
        <v>4033.9847072919238</v>
      </c>
      <c r="D17" s="642">
        <v>200</v>
      </c>
      <c r="E17" s="229">
        <f>+C17/D17</f>
        <v>20.169923536459621</v>
      </c>
      <c r="G17" s="108"/>
    </row>
    <row r="18" spans="2:26" x14ac:dyDescent="0.2">
      <c r="B18" s="216" t="s">
        <v>7</v>
      </c>
      <c r="C18" s="226">
        <f>+'SALIDAS Y TRANSFORMACION'!E42/1000</f>
        <v>0</v>
      </c>
      <c r="D18" s="642">
        <f>+'SALIDAS Y TRANSFORMACION'!D42</f>
        <v>24</v>
      </c>
      <c r="E18" s="229">
        <f>+C18/D18</f>
        <v>0</v>
      </c>
      <c r="G18" s="44"/>
    </row>
    <row r="19" spans="2:26" x14ac:dyDescent="0.2">
      <c r="B19" s="216" t="s">
        <v>176</v>
      </c>
      <c r="C19" s="273"/>
      <c r="D19" s="642"/>
      <c r="E19" s="229"/>
      <c r="G19" s="44"/>
    </row>
    <row r="20" spans="2:26" ht="15.75" x14ac:dyDescent="0.25">
      <c r="B20" s="644" t="s">
        <v>456</v>
      </c>
      <c r="C20" s="645">
        <f>SUM(C5:C19)</f>
        <v>103524.77325319158</v>
      </c>
      <c r="D20" s="645">
        <f t="shared" ref="D20:E20" si="0">SUM(D5:D19)</f>
        <v>593</v>
      </c>
      <c r="E20" s="645">
        <f t="shared" si="0"/>
        <v>13803.737413985074</v>
      </c>
      <c r="G20" s="44"/>
    </row>
    <row r="21" spans="2:26" x14ac:dyDescent="0.2">
      <c r="B21" s="217" t="s">
        <v>8</v>
      </c>
      <c r="C21" s="227"/>
      <c r="D21" s="105"/>
      <c r="E21" s="229"/>
      <c r="G21" s="108"/>
    </row>
    <row r="22" spans="2:26" x14ac:dyDescent="0.2">
      <c r="B22" s="218" t="s">
        <v>91</v>
      </c>
      <c r="C22" s="226">
        <f>+G77/1000</f>
        <v>7309.3232731987555</v>
      </c>
      <c r="D22" s="106">
        <f>+E77</f>
        <v>38.299999999999997</v>
      </c>
      <c r="E22" s="229">
        <f>+C22/D22</f>
        <v>190.84394969187352</v>
      </c>
      <c r="F22" s="848" t="s">
        <v>27</v>
      </c>
      <c r="G22" s="108"/>
    </row>
    <row r="23" spans="2:26" x14ac:dyDescent="0.2">
      <c r="B23" s="218" t="s">
        <v>92</v>
      </c>
      <c r="C23" s="226"/>
      <c r="D23" s="106"/>
      <c r="E23" s="229"/>
      <c r="F23" s="848" t="s">
        <v>28</v>
      </c>
      <c r="G23" s="108"/>
    </row>
    <row r="24" spans="2:26" x14ac:dyDescent="0.2">
      <c r="B24" s="218" t="s">
        <v>93</v>
      </c>
      <c r="C24" s="226"/>
      <c r="D24" s="106"/>
      <c r="E24" s="229"/>
      <c r="F24" s="848" t="s">
        <v>29</v>
      </c>
      <c r="G24" s="70"/>
    </row>
    <row r="25" spans="2:26" x14ac:dyDescent="0.2">
      <c r="B25" s="218" t="s">
        <v>134</v>
      </c>
      <c r="C25" s="226"/>
      <c r="D25" s="106"/>
      <c r="E25" s="229"/>
      <c r="F25" s="848" t="s">
        <v>160</v>
      </c>
      <c r="G25" s="70"/>
    </row>
    <row r="26" spans="2:26" x14ac:dyDescent="0.2">
      <c r="B26" s="218" t="s">
        <v>138</v>
      </c>
      <c r="C26" s="226"/>
      <c r="D26" s="106"/>
      <c r="E26" s="229"/>
      <c r="F26" s="848" t="s">
        <v>151</v>
      </c>
      <c r="G26" s="70"/>
    </row>
    <row r="27" spans="2:26" ht="15.75" thickBot="1" x14ac:dyDescent="0.25">
      <c r="B27" s="220" t="s">
        <v>101</v>
      </c>
      <c r="C27" s="228"/>
      <c r="D27" s="224"/>
      <c r="E27" s="230"/>
      <c r="F27" s="848" t="s">
        <v>30</v>
      </c>
      <c r="G27" s="70"/>
    </row>
    <row r="28" spans="2:26" ht="16.5" thickBot="1" x14ac:dyDescent="0.3">
      <c r="B28" s="640" t="s">
        <v>106</v>
      </c>
      <c r="C28" s="643">
        <f>+C20+C22</f>
        <v>110834.09652639033</v>
      </c>
      <c r="D28" s="643"/>
      <c r="E28" s="64"/>
      <c r="F28" s="849"/>
      <c r="G28" s="70"/>
    </row>
    <row r="29" spans="2:26" ht="16.5" thickBot="1" x14ac:dyDescent="0.3">
      <c r="C29" s="64"/>
      <c r="D29" s="110"/>
      <c r="E29" s="64"/>
      <c r="F29" s="844"/>
      <c r="G29" s="64"/>
      <c r="I29"/>
      <c r="J29"/>
      <c r="K29"/>
      <c r="L29"/>
      <c r="M29"/>
    </row>
    <row r="30" spans="2:26" ht="16.5" thickBot="1" x14ac:dyDescent="0.3">
      <c r="B30" s="18" t="s">
        <v>72</v>
      </c>
      <c r="C30" s="1401"/>
      <c r="D30" s="1402" t="s">
        <v>816</v>
      </c>
      <c r="E30" s="1403"/>
      <c r="F30" s="1404"/>
      <c r="G30" s="1402" t="s">
        <v>817</v>
      </c>
      <c r="H30" s="1403"/>
      <c r="I30" s="1408"/>
      <c r="J30" s="1409" t="s">
        <v>818</v>
      </c>
      <c r="K30" s="1410"/>
      <c r="L30" s="1408"/>
      <c r="M30" s="1409" t="s">
        <v>819</v>
      </c>
      <c r="N30" s="1410"/>
      <c r="O30" s="1405"/>
      <c r="P30" s="1406" t="s">
        <v>820</v>
      </c>
      <c r="Q30" s="1407"/>
      <c r="R30" s="1405"/>
      <c r="S30" s="1406" t="s">
        <v>821</v>
      </c>
      <c r="T30" s="1407"/>
      <c r="U30" s="1411"/>
      <c r="V30" s="1412" t="s">
        <v>822</v>
      </c>
      <c r="W30" s="1413"/>
      <c r="X30" s="1411"/>
      <c r="Y30" s="1412" t="s">
        <v>823</v>
      </c>
      <c r="Z30" s="1413"/>
    </row>
    <row r="31" spans="2:26" ht="15.75" customHeight="1" thickBot="1" x14ac:dyDescent="0.3">
      <c r="B31" s="1641" t="s">
        <v>0</v>
      </c>
      <c r="C31" s="1643" t="s">
        <v>174</v>
      </c>
      <c r="D31" s="262" t="s">
        <v>173</v>
      </c>
      <c r="E31" s="1643" t="s">
        <v>71</v>
      </c>
      <c r="F31" s="1643" t="s">
        <v>174</v>
      </c>
      <c r="G31" s="262" t="s">
        <v>173</v>
      </c>
      <c r="H31" s="1643" t="s">
        <v>71</v>
      </c>
      <c r="I31" s="1643" t="s">
        <v>174</v>
      </c>
      <c r="J31" s="262" t="s">
        <v>173</v>
      </c>
      <c r="K31" s="1643" t="s">
        <v>71</v>
      </c>
      <c r="L31" s="1643" t="s">
        <v>174</v>
      </c>
      <c r="M31" s="262" t="s">
        <v>173</v>
      </c>
      <c r="N31" s="1643" t="s">
        <v>71</v>
      </c>
      <c r="O31" s="1643" t="s">
        <v>174</v>
      </c>
      <c r="P31" s="262" t="s">
        <v>173</v>
      </c>
      <c r="Q31" s="1643" t="s">
        <v>71</v>
      </c>
      <c r="R31" s="1643" t="s">
        <v>174</v>
      </c>
      <c r="S31" s="262" t="s">
        <v>173</v>
      </c>
      <c r="T31" s="1643" t="s">
        <v>71</v>
      </c>
      <c r="U31" s="1643" t="s">
        <v>174</v>
      </c>
      <c r="V31" s="262" t="s">
        <v>173</v>
      </c>
      <c r="W31" s="1643" t="s">
        <v>71</v>
      </c>
      <c r="X31" s="1643" t="s">
        <v>174</v>
      </c>
      <c r="Y31" s="262" t="s">
        <v>173</v>
      </c>
      <c r="Z31" s="1643" t="s">
        <v>71</v>
      </c>
    </row>
    <row r="32" spans="2:26" ht="15.75" thickBot="1" x14ac:dyDescent="0.3">
      <c r="B32" s="1642"/>
      <c r="C32" s="1644"/>
      <c r="D32" s="221" t="s">
        <v>9</v>
      </c>
      <c r="E32" s="1644"/>
      <c r="F32" s="1644"/>
      <c r="G32" s="221" t="s">
        <v>9</v>
      </c>
      <c r="H32" s="1644"/>
      <c r="I32" s="1644"/>
      <c r="J32" s="221" t="s">
        <v>9</v>
      </c>
      <c r="K32" s="1644"/>
      <c r="L32" s="1644"/>
      <c r="M32" s="221" t="s">
        <v>9</v>
      </c>
      <c r="N32" s="1644"/>
      <c r="O32" s="1644"/>
      <c r="P32" s="221" t="s">
        <v>9</v>
      </c>
      <c r="Q32" s="1644"/>
      <c r="R32" s="1644"/>
      <c r="S32" s="221" t="s">
        <v>9</v>
      </c>
      <c r="T32" s="1644"/>
      <c r="U32" s="1644"/>
      <c r="V32" s="221" t="s">
        <v>9</v>
      </c>
      <c r="W32" s="1644"/>
      <c r="X32" s="1644"/>
      <c r="Y32" s="221" t="s">
        <v>9</v>
      </c>
      <c r="Z32" s="1644"/>
    </row>
    <row r="33" spans="2:26" x14ac:dyDescent="0.2">
      <c r="B33" s="1547" t="s">
        <v>3</v>
      </c>
      <c r="C33" s="1388"/>
      <c r="D33" s="1389"/>
      <c r="E33" s="1390"/>
      <c r="F33" s="1388"/>
      <c r="G33" s="1389"/>
      <c r="H33" s="1390"/>
      <c r="I33" s="1388"/>
      <c r="J33" s="1389"/>
      <c r="K33" s="1390"/>
      <c r="L33" s="1388"/>
      <c r="M33" s="1389"/>
      <c r="N33" s="1390"/>
      <c r="O33" s="1388"/>
      <c r="P33" s="1389"/>
      <c r="Q33" s="1390"/>
      <c r="R33" s="1388"/>
      <c r="S33" s="1389"/>
      <c r="T33" s="1390"/>
      <c r="U33" s="1388"/>
      <c r="V33" s="1389"/>
      <c r="W33" s="1390"/>
      <c r="X33" s="1388"/>
      <c r="Y33" s="1389"/>
      <c r="Z33" s="1390"/>
    </row>
    <row r="34" spans="2:26" ht="15.75" x14ac:dyDescent="0.25">
      <c r="B34" s="1548" t="s">
        <v>86</v>
      </c>
      <c r="C34" s="1400">
        <f>+'SALIDAS Y TRANSFORMACION'!E73</f>
        <v>2160</v>
      </c>
      <c r="D34" s="1543">
        <v>1</v>
      </c>
      <c r="E34" s="1393">
        <f>+D34*C34</f>
        <v>2160</v>
      </c>
      <c r="F34" s="1391"/>
      <c r="G34" s="1392"/>
      <c r="H34" s="1393"/>
      <c r="I34" s="1391"/>
      <c r="J34" s="1392"/>
      <c r="K34" s="1393"/>
      <c r="L34" s="1391"/>
      <c r="M34" s="1392"/>
      <c r="N34" s="1393"/>
      <c r="O34" s="1391"/>
      <c r="P34" s="1392"/>
      <c r="Q34" s="1393"/>
      <c r="R34" s="1391"/>
      <c r="S34" s="1392"/>
      <c r="T34" s="1393"/>
      <c r="U34" s="1391"/>
      <c r="V34" s="1392"/>
      <c r="W34" s="1393"/>
      <c r="X34" s="1391"/>
      <c r="Y34" s="1392"/>
      <c r="Z34" s="1393"/>
    </row>
    <row r="35" spans="2:26" x14ac:dyDescent="0.2">
      <c r="B35" s="1548"/>
      <c r="C35" s="1391"/>
      <c r="D35" s="1543"/>
      <c r="E35" s="1414"/>
      <c r="F35" s="1391"/>
      <c r="G35" s="1543"/>
      <c r="H35" s="1414"/>
      <c r="I35" s="1391"/>
      <c r="J35" s="1543"/>
      <c r="K35" s="1414"/>
      <c r="L35" s="1391"/>
      <c r="M35" s="1543"/>
      <c r="N35" s="1414"/>
      <c r="O35" s="1391"/>
      <c r="P35" s="1392"/>
      <c r="Q35" s="1393"/>
      <c r="R35" s="1391"/>
      <c r="S35" s="1392"/>
      <c r="T35" s="1393"/>
      <c r="U35" s="1391"/>
      <c r="V35" s="1392"/>
      <c r="W35" s="1393"/>
      <c r="X35" s="1391"/>
      <c r="Y35" s="1392"/>
      <c r="Z35" s="1393"/>
    </row>
    <row r="36" spans="2:26" x14ac:dyDescent="0.2">
      <c r="B36" s="1548" t="s">
        <v>87</v>
      </c>
      <c r="C36" s="1391"/>
      <c r="D36" s="1392"/>
      <c r="E36" s="1393"/>
      <c r="F36" s="1391"/>
      <c r="G36" s="1392"/>
      <c r="H36" s="1393"/>
      <c r="I36" s="1391"/>
      <c r="J36" s="1392"/>
      <c r="K36" s="1393"/>
      <c r="L36" s="1391"/>
      <c r="M36" s="1392"/>
      <c r="N36" s="1393"/>
      <c r="O36" s="1391"/>
      <c r="P36" s="1392"/>
      <c r="Q36" s="1393"/>
      <c r="R36" s="1391"/>
      <c r="S36" s="1392"/>
      <c r="T36" s="1393"/>
      <c r="U36" s="1391"/>
      <c r="V36" s="1392"/>
      <c r="W36" s="1393"/>
      <c r="X36" s="1391"/>
      <c r="Y36" s="1392"/>
      <c r="Z36" s="1393"/>
    </row>
    <row r="37" spans="2:26" x14ac:dyDescent="0.2">
      <c r="B37" s="1548" t="s">
        <v>88</v>
      </c>
      <c r="C37" s="1391"/>
      <c r="D37" s="1392"/>
      <c r="E37" s="1393"/>
      <c r="F37" s="1391"/>
      <c r="G37" s="1392"/>
      <c r="H37" s="1393"/>
      <c r="I37" s="1391"/>
      <c r="J37" s="1392"/>
      <c r="K37" s="1393"/>
      <c r="L37" s="1391"/>
      <c r="M37" s="1392"/>
      <c r="N37" s="1393"/>
      <c r="O37" s="1391"/>
      <c r="P37" s="1392"/>
      <c r="Q37" s="1393"/>
      <c r="R37" s="1391"/>
      <c r="S37" s="1392"/>
      <c r="T37" s="1393"/>
      <c r="U37" s="1391"/>
      <c r="V37" s="1392"/>
      <c r="W37" s="1393"/>
      <c r="X37" s="1391"/>
      <c r="Y37" s="1392"/>
      <c r="Z37" s="1393"/>
    </row>
    <row r="38" spans="2:26" x14ac:dyDescent="0.2">
      <c r="B38" s="1548" t="s">
        <v>89</v>
      </c>
      <c r="C38" s="1391"/>
      <c r="D38" s="1392"/>
      <c r="E38" s="1393"/>
      <c r="F38" s="1391"/>
      <c r="G38" s="1392"/>
      <c r="H38" s="1393"/>
      <c r="I38" s="1391"/>
      <c r="J38" s="1392"/>
      <c r="K38" s="1393"/>
      <c r="L38" s="1391"/>
      <c r="M38" s="1392"/>
      <c r="N38" s="1393"/>
      <c r="O38" s="1391"/>
      <c r="P38" s="1392"/>
      <c r="Q38" s="1393"/>
      <c r="R38" s="1391"/>
      <c r="S38" s="1392"/>
      <c r="T38" s="1393"/>
      <c r="U38" s="1391"/>
      <c r="V38" s="1392"/>
      <c r="W38" s="1393"/>
      <c r="X38" s="1391"/>
      <c r="Y38" s="1392"/>
      <c r="Z38" s="1393"/>
    </row>
    <row r="39" spans="2:26" x14ac:dyDescent="0.2">
      <c r="B39" s="1548" t="s">
        <v>98</v>
      </c>
      <c r="C39" s="1391"/>
      <c r="D39" s="1392"/>
      <c r="E39" s="1393"/>
      <c r="F39" s="1391"/>
      <c r="G39" s="1392"/>
      <c r="H39" s="1393"/>
      <c r="I39" s="1391"/>
      <c r="J39" s="1392"/>
      <c r="K39" s="1393"/>
      <c r="L39" s="1391"/>
      <c r="M39" s="1392"/>
      <c r="N39" s="1393"/>
      <c r="O39" s="1391"/>
      <c r="P39" s="1392"/>
      <c r="Q39" s="1393"/>
      <c r="R39" s="1391"/>
      <c r="S39" s="1392"/>
      <c r="T39" s="1393"/>
      <c r="U39" s="1391"/>
      <c r="V39" s="1392"/>
      <c r="W39" s="1393"/>
      <c r="X39" s="1391"/>
      <c r="Y39" s="1392"/>
      <c r="Z39" s="1393"/>
    </row>
    <row r="40" spans="2:26" x14ac:dyDescent="0.2">
      <c r="B40" s="1548" t="s">
        <v>99</v>
      </c>
      <c r="C40" s="1391"/>
      <c r="D40" s="1392"/>
      <c r="E40" s="1393"/>
      <c r="F40" s="1391"/>
      <c r="G40" s="1392"/>
      <c r="H40" s="1393"/>
      <c r="I40" s="1391"/>
      <c r="J40" s="1392"/>
      <c r="K40" s="1393"/>
      <c r="L40" s="1391"/>
      <c r="M40" s="1392"/>
      <c r="N40" s="1393"/>
      <c r="O40" s="1391"/>
      <c r="P40" s="1392"/>
      <c r="Q40" s="1393"/>
      <c r="R40" s="1391"/>
      <c r="S40" s="1392"/>
      <c r="T40" s="1393"/>
      <c r="U40" s="1391"/>
      <c r="V40" s="1392"/>
      <c r="W40" s="1393"/>
      <c r="X40" s="1391"/>
      <c r="Y40" s="1392"/>
      <c r="Z40" s="1393"/>
    </row>
    <row r="41" spans="2:26" ht="15.75" x14ac:dyDescent="0.25">
      <c r="B41" s="1548" t="s">
        <v>90</v>
      </c>
      <c r="C41" s="1400">
        <f>+'SALIDAS Y TRANSFORMACION'!E70</f>
        <v>8400</v>
      </c>
      <c r="D41" s="1543">
        <v>1</v>
      </c>
      <c r="E41" s="1393">
        <f>+D41*C41</f>
        <v>8400</v>
      </c>
      <c r="F41" s="1400"/>
      <c r="G41" s="1543"/>
      <c r="H41" s="1393"/>
      <c r="I41" s="1391"/>
      <c r="J41" s="1392"/>
      <c r="K41" s="1393"/>
      <c r="L41" s="1400">
        <f>+'SALIDAS Y TRANSFORMACION'!E71</f>
        <v>2000</v>
      </c>
      <c r="M41" s="1543">
        <v>1</v>
      </c>
      <c r="N41" s="1393">
        <f>+M41*L41</f>
        <v>2000</v>
      </c>
      <c r="O41" s="1391"/>
      <c r="P41" s="1392"/>
      <c r="Q41" s="1393"/>
      <c r="R41" s="1400">
        <f>+'SALIDAS Y TRANSFORMACION'!E74</f>
        <v>11571</v>
      </c>
      <c r="S41" s="1543">
        <v>1</v>
      </c>
      <c r="T41" s="1393">
        <f>+S41*R41</f>
        <v>11571</v>
      </c>
      <c r="U41" s="1391"/>
      <c r="V41" s="1392"/>
      <c r="W41" s="1393"/>
      <c r="X41" s="1391"/>
      <c r="Y41" s="1392"/>
      <c r="Z41" s="1393"/>
    </row>
    <row r="42" spans="2:26" x14ac:dyDescent="0.2">
      <c r="B42" s="1548" t="s">
        <v>167</v>
      </c>
      <c r="C42" s="1391"/>
      <c r="D42" s="1394"/>
      <c r="E42" s="1393"/>
      <c r="F42" s="1391"/>
      <c r="G42" s="1394"/>
      <c r="H42" s="1393"/>
      <c r="I42" s="1391"/>
      <c r="J42" s="1394"/>
      <c r="K42" s="1393"/>
      <c r="L42" s="1391"/>
      <c r="M42" s="1394"/>
      <c r="N42" s="1393"/>
      <c r="O42" s="1391"/>
      <c r="P42" s="1394"/>
      <c r="Q42" s="1393"/>
      <c r="R42" s="1391"/>
      <c r="S42" s="1394"/>
      <c r="T42" s="1393"/>
      <c r="U42" s="1391"/>
      <c r="V42" s="1394"/>
      <c r="W42" s="1393"/>
      <c r="X42" s="1391"/>
      <c r="Y42" s="1394"/>
      <c r="Z42" s="1393"/>
    </row>
    <row r="43" spans="2:26" x14ac:dyDescent="0.2">
      <c r="B43" s="1549" t="s">
        <v>177</v>
      </c>
      <c r="C43" s="1391"/>
      <c r="D43" s="1394"/>
      <c r="E43" s="1393"/>
      <c r="F43" s="1391"/>
      <c r="G43" s="1394"/>
      <c r="H43" s="1393"/>
      <c r="I43" s="1391"/>
      <c r="J43" s="1394"/>
      <c r="K43" s="1393"/>
      <c r="L43" s="1391"/>
      <c r="M43" s="1394"/>
      <c r="N43" s="1393"/>
      <c r="O43" s="1391"/>
      <c r="P43" s="1394"/>
      <c r="Q43" s="1393"/>
      <c r="R43" s="1391"/>
      <c r="S43" s="1394"/>
      <c r="T43" s="1393"/>
      <c r="U43" s="1391"/>
      <c r="V43" s="1394"/>
      <c r="W43" s="1393"/>
      <c r="X43" s="1391"/>
      <c r="Y43" s="1394"/>
      <c r="Z43" s="1393"/>
    </row>
    <row r="44" spans="2:26" x14ac:dyDescent="0.2">
      <c r="B44" s="1550" t="s">
        <v>4</v>
      </c>
      <c r="C44" s="1391"/>
      <c r="D44" s="1395"/>
      <c r="E44" s="1393"/>
      <c r="F44" s="1391"/>
      <c r="G44" s="1395"/>
      <c r="H44" s="1393"/>
      <c r="I44" s="1391"/>
      <c r="J44" s="1395"/>
      <c r="K44" s="1393"/>
      <c r="L44" s="1391"/>
      <c r="M44" s="1395"/>
      <c r="N44" s="1393"/>
      <c r="O44" s="1391"/>
      <c r="P44" s="1395"/>
      <c r="Q44" s="1393"/>
      <c r="R44" s="1391"/>
      <c r="S44" s="1395"/>
      <c r="T44" s="1393"/>
      <c r="U44" s="1391"/>
      <c r="V44" s="1395"/>
      <c r="W44" s="1393"/>
      <c r="X44" s="1391"/>
      <c r="Y44" s="1395"/>
      <c r="Z44" s="1393"/>
    </row>
    <row r="45" spans="2:26" x14ac:dyDescent="0.2">
      <c r="B45" s="1551" t="s">
        <v>105</v>
      </c>
      <c r="C45" s="1391"/>
      <c r="D45" s="1396"/>
      <c r="E45" s="1393"/>
      <c r="F45" s="1391"/>
      <c r="G45" s="1396"/>
      <c r="H45" s="1393"/>
      <c r="I45" s="1391"/>
      <c r="J45" s="1396"/>
      <c r="K45" s="1393"/>
      <c r="L45" s="1391"/>
      <c r="M45" s="1396"/>
      <c r="N45" s="1393"/>
      <c r="O45" s="1391"/>
      <c r="P45" s="1396"/>
      <c r="Q45" s="1393"/>
      <c r="R45" s="1391"/>
      <c r="S45" s="1396"/>
      <c r="T45" s="1393"/>
      <c r="U45" s="1391"/>
      <c r="V45" s="1396"/>
      <c r="W45" s="1393"/>
      <c r="X45" s="1391"/>
      <c r="Y45" s="1396"/>
      <c r="Z45" s="1393"/>
    </row>
    <row r="46" spans="2:26" x14ac:dyDescent="0.2">
      <c r="B46" s="1551" t="s">
        <v>5</v>
      </c>
      <c r="C46" s="1391"/>
      <c r="D46" s="1392"/>
      <c r="E46" s="1393"/>
      <c r="F46" s="1391"/>
      <c r="G46" s="1392"/>
      <c r="H46" s="1393"/>
      <c r="I46" s="1391"/>
      <c r="J46" s="1392"/>
      <c r="K46" s="1393"/>
      <c r="L46" s="1391"/>
      <c r="M46" s="1392"/>
      <c r="N46" s="1393"/>
      <c r="O46" s="1391"/>
      <c r="P46" s="1392"/>
      <c r="Q46" s="1393"/>
      <c r="R46" s="1391"/>
      <c r="S46" s="1392"/>
      <c r="T46" s="1393"/>
      <c r="U46" s="1391"/>
      <c r="V46" s="1392"/>
      <c r="W46" s="1393"/>
      <c r="X46" s="1391"/>
      <c r="Y46" s="1392"/>
      <c r="Z46" s="1393"/>
    </row>
    <row r="47" spans="2:26" x14ac:dyDescent="0.2">
      <c r="B47" s="1551" t="s">
        <v>6</v>
      </c>
      <c r="C47" s="1391"/>
      <c r="D47" s="1392"/>
      <c r="E47" s="1393"/>
      <c r="F47" s="1391"/>
      <c r="G47" s="1392"/>
      <c r="H47" s="1393"/>
      <c r="I47" s="1391"/>
      <c r="J47" s="1392"/>
      <c r="K47" s="1393"/>
      <c r="L47" s="1391"/>
      <c r="M47" s="1392"/>
      <c r="N47" s="1393"/>
      <c r="O47" s="1391"/>
      <c r="P47" s="1392"/>
      <c r="Q47" s="1393"/>
      <c r="R47" s="1391"/>
      <c r="S47" s="1392"/>
      <c r="T47" s="1393"/>
      <c r="U47" s="1391"/>
      <c r="V47" s="1392"/>
      <c r="W47" s="1393"/>
      <c r="X47" s="1391"/>
      <c r="Y47" s="1392"/>
      <c r="Z47" s="1393"/>
    </row>
    <row r="48" spans="2:26" x14ac:dyDescent="0.2">
      <c r="B48" s="1551" t="s">
        <v>7</v>
      </c>
      <c r="C48" s="1391"/>
      <c r="D48" s="1392"/>
      <c r="E48" s="1393"/>
      <c r="F48" s="1391"/>
      <c r="G48" s="1392"/>
      <c r="H48" s="1393"/>
      <c r="I48" s="1391"/>
      <c r="J48" s="1392"/>
      <c r="K48" s="1393"/>
      <c r="L48" s="1391"/>
      <c r="M48" s="1392"/>
      <c r="N48" s="1393"/>
      <c r="O48" s="1391"/>
      <c r="P48" s="1392"/>
      <c r="Q48" s="1393"/>
      <c r="R48" s="1391"/>
      <c r="S48" s="1392"/>
      <c r="T48" s="1393"/>
      <c r="U48" s="1391"/>
      <c r="V48" s="1392"/>
      <c r="W48" s="1393"/>
      <c r="X48" s="1391"/>
      <c r="Y48" s="1392"/>
      <c r="Z48" s="1393"/>
    </row>
    <row r="49" spans="1:26" x14ac:dyDescent="0.2">
      <c r="B49" s="1552" t="s">
        <v>177</v>
      </c>
      <c r="C49" s="1391"/>
      <c r="D49" s="1392"/>
      <c r="E49" s="1393"/>
      <c r="F49" s="1391"/>
      <c r="G49" s="1392"/>
      <c r="H49" s="1393"/>
      <c r="I49" s="1391"/>
      <c r="J49" s="1392"/>
      <c r="K49" s="1393"/>
      <c r="L49" s="1391"/>
      <c r="M49" s="1392"/>
      <c r="N49" s="1393"/>
      <c r="O49" s="1391"/>
      <c r="P49" s="1392"/>
      <c r="Q49" s="1393"/>
      <c r="R49" s="1391"/>
      <c r="S49" s="1392"/>
      <c r="T49" s="1393"/>
      <c r="U49" s="1391"/>
      <c r="V49" s="1392"/>
      <c r="W49" s="1393"/>
      <c r="X49" s="1391"/>
      <c r="Y49" s="1392"/>
      <c r="Z49" s="1393"/>
    </row>
    <row r="50" spans="1:26" x14ac:dyDescent="0.2">
      <c r="B50" s="1553" t="s">
        <v>8</v>
      </c>
      <c r="C50" s="1391"/>
      <c r="D50" s="1392"/>
      <c r="E50" s="1393"/>
      <c r="F50" s="1391"/>
      <c r="G50" s="1392"/>
      <c r="H50" s="1393"/>
      <c r="I50" s="1391"/>
      <c r="J50" s="1392"/>
      <c r="K50" s="1393"/>
      <c r="L50" s="1391"/>
      <c r="M50" s="1392"/>
      <c r="N50" s="1393"/>
      <c r="O50" s="1391"/>
      <c r="P50" s="1392"/>
      <c r="Q50" s="1393"/>
      <c r="R50" s="1391"/>
      <c r="S50" s="1392"/>
      <c r="T50" s="1393"/>
      <c r="U50" s="1391"/>
      <c r="V50" s="1392"/>
      <c r="W50" s="1393"/>
      <c r="X50" s="1391"/>
      <c r="Y50" s="1392"/>
      <c r="Z50" s="1393"/>
    </row>
    <row r="51" spans="1:26" x14ac:dyDescent="0.2">
      <c r="B51" s="1554" t="s">
        <v>91</v>
      </c>
      <c r="C51" s="1391"/>
      <c r="D51" s="1392"/>
      <c r="E51" s="1393"/>
      <c r="F51" s="1391"/>
      <c r="G51" s="1392"/>
      <c r="H51" s="1393"/>
      <c r="I51" s="1391"/>
      <c r="J51" s="1392"/>
      <c r="K51" s="1393"/>
      <c r="L51" s="1391"/>
      <c r="M51" s="1392"/>
      <c r="N51" s="1393"/>
      <c r="O51" s="1391"/>
      <c r="P51" s="1392"/>
      <c r="Q51" s="1393"/>
      <c r="R51" s="1391"/>
      <c r="S51" s="1392"/>
      <c r="T51" s="1393"/>
      <c r="U51" s="1391"/>
      <c r="V51" s="1392"/>
      <c r="W51" s="1393"/>
      <c r="X51" s="1391"/>
      <c r="Y51" s="1392"/>
      <c r="Z51" s="1393"/>
    </row>
    <row r="52" spans="1:26" x14ac:dyDescent="0.2">
      <c r="B52" s="1554" t="s">
        <v>92</v>
      </c>
      <c r="C52" s="1391"/>
      <c r="D52" s="1392"/>
      <c r="E52" s="1393"/>
      <c r="F52" s="1391"/>
      <c r="G52" s="1392"/>
      <c r="H52" s="1393"/>
      <c r="I52" s="1391"/>
      <c r="J52" s="1392"/>
      <c r="K52" s="1393"/>
      <c r="L52" s="1391"/>
      <c r="M52" s="1392"/>
      <c r="N52" s="1393"/>
      <c r="O52" s="1391"/>
      <c r="P52" s="1392"/>
      <c r="Q52" s="1393"/>
      <c r="R52" s="1391"/>
      <c r="S52" s="1392"/>
      <c r="T52" s="1393"/>
      <c r="U52" s="1391"/>
      <c r="V52" s="1392"/>
      <c r="W52" s="1393"/>
      <c r="X52" s="1391"/>
      <c r="Y52" s="1392"/>
      <c r="Z52" s="1393"/>
    </row>
    <row r="53" spans="1:26" x14ac:dyDescent="0.2">
      <c r="B53" s="1554" t="s">
        <v>93</v>
      </c>
      <c r="C53" s="1391"/>
      <c r="D53" s="1392"/>
      <c r="E53" s="1393"/>
      <c r="F53" s="1391"/>
      <c r="G53" s="1392"/>
      <c r="H53" s="1393"/>
      <c r="I53" s="1391"/>
      <c r="J53" s="1392"/>
      <c r="K53" s="1393"/>
      <c r="L53" s="1391"/>
      <c r="M53" s="1392"/>
      <c r="N53" s="1393"/>
      <c r="O53" s="1391"/>
      <c r="P53" s="1392"/>
      <c r="Q53" s="1393"/>
      <c r="R53" s="1391"/>
      <c r="S53" s="1392"/>
      <c r="T53" s="1393"/>
      <c r="U53" s="1391"/>
      <c r="V53" s="1392"/>
      <c r="W53" s="1393"/>
      <c r="X53" s="1391"/>
      <c r="Y53" s="1392"/>
      <c r="Z53" s="1393"/>
    </row>
    <row r="54" spans="1:26" x14ac:dyDescent="0.2">
      <c r="B54" s="1554" t="s">
        <v>100</v>
      </c>
      <c r="C54" s="1391"/>
      <c r="D54" s="1392"/>
      <c r="E54" s="1393"/>
      <c r="F54" s="1391"/>
      <c r="G54" s="1392"/>
      <c r="H54" s="1393"/>
      <c r="I54" s="1391"/>
      <c r="J54" s="1392"/>
      <c r="K54" s="1393"/>
      <c r="L54" s="1391"/>
      <c r="M54" s="1392"/>
      <c r="N54" s="1393"/>
      <c r="O54" s="1391"/>
      <c r="P54" s="1392"/>
      <c r="Q54" s="1393"/>
      <c r="R54" s="1391"/>
      <c r="S54" s="1392"/>
      <c r="T54" s="1393"/>
      <c r="U54" s="1391"/>
      <c r="V54" s="1392"/>
      <c r="W54" s="1393"/>
      <c r="X54" s="1391"/>
      <c r="Y54" s="1392"/>
      <c r="Z54" s="1393"/>
    </row>
    <row r="55" spans="1:26" ht="15.75" thickBot="1" x14ac:dyDescent="0.25">
      <c r="A55" s="219"/>
      <c r="B55" s="1554" t="s">
        <v>101</v>
      </c>
      <c r="C55" s="1391"/>
      <c r="D55" s="1392"/>
      <c r="E55" s="1393"/>
      <c r="F55" s="1391"/>
      <c r="G55" s="1392"/>
      <c r="H55" s="1393"/>
      <c r="I55" s="1391"/>
      <c r="J55" s="1392"/>
      <c r="K55" s="1393"/>
      <c r="L55" s="1391"/>
      <c r="M55" s="1392"/>
      <c r="N55" s="1393"/>
      <c r="O55" s="1391"/>
      <c r="P55" s="1392"/>
      <c r="Q55" s="1393"/>
      <c r="R55" s="1391"/>
      <c r="S55" s="1392"/>
      <c r="T55" s="1393"/>
      <c r="U55" s="1391"/>
      <c r="V55" s="1392"/>
      <c r="W55" s="1393"/>
      <c r="X55" s="1391"/>
      <c r="Y55" s="1392"/>
      <c r="Z55" s="1393"/>
    </row>
    <row r="56" spans="1:26" ht="26.25" customHeight="1" thickBot="1" x14ac:dyDescent="0.3">
      <c r="B56" s="1581"/>
      <c r="C56" s="1397">
        <f>SUM(C34:C55)</f>
        <v>10560</v>
      </c>
      <c r="D56" s="1398"/>
      <c r="E56" s="1399"/>
      <c r="F56" s="1397">
        <f>SUM(F34:F55)</f>
        <v>0</v>
      </c>
      <c r="G56" s="1398"/>
      <c r="H56" s="1399"/>
      <c r="I56" s="1397">
        <f>SUM(I34:I55)</f>
        <v>0</v>
      </c>
      <c r="J56" s="1398"/>
      <c r="K56" s="1399"/>
      <c r="L56" s="1397">
        <f>SUM(L34:L55)</f>
        <v>2000</v>
      </c>
      <c r="M56" s="1392"/>
      <c r="N56" s="1399"/>
      <c r="O56" s="1397">
        <f>SUM(O34:O55)</f>
        <v>0</v>
      </c>
      <c r="P56" s="1398"/>
      <c r="Q56" s="1399"/>
      <c r="R56" s="1397">
        <f>SUM(R34:R55)</f>
        <v>11571</v>
      </c>
      <c r="S56" s="1398"/>
      <c r="T56" s="1399"/>
      <c r="U56" s="1397">
        <f>SUM(U34:U55)</f>
        <v>0</v>
      </c>
      <c r="V56" s="1398"/>
      <c r="W56" s="1399"/>
      <c r="X56" s="1397">
        <f>SUM(X34:X55)</f>
        <v>0</v>
      </c>
      <c r="Y56" s="1398"/>
      <c r="Z56" s="1399"/>
    </row>
    <row r="57" spans="1:26" x14ac:dyDescent="0.2">
      <c r="D57" s="1385"/>
      <c r="E57" s="1385"/>
      <c r="F57" s="1386"/>
      <c r="G57" s="1385"/>
      <c r="I57"/>
      <c r="J57"/>
      <c r="K57"/>
      <c r="L57"/>
      <c r="M57"/>
    </row>
    <row r="58" spans="1:26" x14ac:dyDescent="0.2">
      <c r="B58" s="20" t="s">
        <v>26</v>
      </c>
      <c r="C58" s="1387"/>
      <c r="E58" s="20" t="s">
        <v>158</v>
      </c>
      <c r="F58" s="855"/>
      <c r="I58"/>
      <c r="J58"/>
      <c r="K58"/>
      <c r="L58"/>
      <c r="M58"/>
    </row>
    <row r="59" spans="1:26" x14ac:dyDescent="0.2">
      <c r="B59" s="20" t="s">
        <v>156</v>
      </c>
      <c r="C59" s="21"/>
      <c r="E59" s="20" t="s">
        <v>159</v>
      </c>
      <c r="F59" s="855"/>
      <c r="I59"/>
      <c r="J59"/>
      <c r="K59"/>
      <c r="L59"/>
      <c r="M59"/>
    </row>
    <row r="60" spans="1:26" x14ac:dyDescent="0.2">
      <c r="B60" s="20" t="s">
        <v>157</v>
      </c>
      <c r="C60" s="21"/>
      <c r="E60" s="20" t="s">
        <v>161</v>
      </c>
      <c r="F60" s="855"/>
      <c r="I60"/>
      <c r="J60"/>
      <c r="K60"/>
      <c r="L60"/>
      <c r="M60"/>
    </row>
    <row r="61" spans="1:26" ht="12.75" x14ac:dyDescent="0.2">
      <c r="F61"/>
      <c r="I61"/>
      <c r="J61"/>
      <c r="K61"/>
      <c r="L61"/>
      <c r="M61"/>
    </row>
    <row r="62" spans="1:26" ht="12.75" hidden="1" x14ac:dyDescent="0.2">
      <c r="F62"/>
      <c r="I62"/>
      <c r="J62"/>
      <c r="K62"/>
      <c r="L62"/>
      <c r="M62"/>
    </row>
    <row r="63" spans="1:26" ht="27" hidden="1" customHeight="1" x14ac:dyDescent="0.2">
      <c r="F63"/>
      <c r="I63"/>
      <c r="J63"/>
      <c r="K63"/>
      <c r="L63"/>
      <c r="M63"/>
    </row>
    <row r="64" spans="1:26" hidden="1" x14ac:dyDescent="0.2">
      <c r="C64" s="253"/>
    </row>
    <row r="65" spans="2:10" hidden="1" x14ac:dyDescent="0.2"/>
    <row r="66" spans="2:10" hidden="1" x14ac:dyDescent="0.2"/>
    <row r="68" spans="2:10" ht="15.75" thickBot="1" x14ac:dyDescent="0.25">
      <c r="B68" s="204" t="s">
        <v>150</v>
      </c>
    </row>
    <row r="69" spans="2:10" ht="13.5" thickBot="1" x14ac:dyDescent="0.25">
      <c r="B69" s="161"/>
      <c r="C69" s="162" t="s">
        <v>145</v>
      </c>
      <c r="D69" s="163"/>
      <c r="E69" s="1638" t="s">
        <v>146</v>
      </c>
      <c r="F69" s="1639"/>
      <c r="G69" s="1639"/>
      <c r="H69" s="1640"/>
    </row>
    <row r="70" spans="2:10" ht="32.25" thickBot="1" x14ac:dyDescent="0.25">
      <c r="B70" s="71"/>
      <c r="C70" s="205" t="s">
        <v>114</v>
      </c>
      <c r="D70" s="206" t="s">
        <v>115</v>
      </c>
      <c r="E70" s="207" t="s">
        <v>116</v>
      </c>
      <c r="F70" s="850" t="s">
        <v>117</v>
      </c>
      <c r="G70" s="208" t="s">
        <v>44</v>
      </c>
      <c r="H70" s="205" t="s">
        <v>118</v>
      </c>
    </row>
    <row r="71" spans="2:10" ht="15.75" thickBot="1" x14ac:dyDescent="0.25">
      <c r="B71" s="164"/>
      <c r="C71" s="165"/>
      <c r="D71" s="165"/>
      <c r="E71" s="165"/>
      <c r="F71" s="851"/>
      <c r="G71" s="165"/>
      <c r="H71" s="166"/>
    </row>
    <row r="72" spans="2:10" ht="13.5" thickBot="1" x14ac:dyDescent="0.25">
      <c r="B72" s="1635" t="s">
        <v>147</v>
      </c>
      <c r="C72" s="1638" t="s">
        <v>148</v>
      </c>
      <c r="D72" s="1639"/>
      <c r="E72" s="1639"/>
      <c r="F72" s="1639"/>
      <c r="G72" s="1639"/>
      <c r="H72" s="1640"/>
    </row>
    <row r="73" spans="2:10" x14ac:dyDescent="0.2">
      <c r="B73" s="1636"/>
      <c r="C73" s="167" t="s">
        <v>40</v>
      </c>
      <c r="D73" s="168" t="s">
        <v>109</v>
      </c>
      <c r="E73" s="179">
        <v>5.8</v>
      </c>
      <c r="F73" s="852">
        <v>17</v>
      </c>
      <c r="G73" s="169">
        <f>+'VNR APROBADO'!S76</f>
        <v>1250252.3617040773</v>
      </c>
      <c r="H73" s="170">
        <v>107417.24137931</v>
      </c>
      <c r="I73" s="1563"/>
    </row>
    <row r="74" spans="2:10" x14ac:dyDescent="0.2">
      <c r="B74" s="1636"/>
      <c r="C74" s="171" t="s">
        <v>41</v>
      </c>
      <c r="D74" s="172" t="s">
        <v>110</v>
      </c>
      <c r="E74" s="180">
        <v>2</v>
      </c>
      <c r="F74" s="853">
        <v>6</v>
      </c>
      <c r="G74" s="169">
        <f>+'VNR APROBADO'!S77</f>
        <v>343920.55257231899</v>
      </c>
      <c r="H74" s="173">
        <v>107415</v>
      </c>
      <c r="I74" s="1563"/>
    </row>
    <row r="75" spans="2:10" ht="21" customHeight="1" x14ac:dyDescent="0.2">
      <c r="B75" s="1636"/>
      <c r="C75" s="171" t="s">
        <v>111</v>
      </c>
      <c r="D75" s="172" t="s">
        <v>112</v>
      </c>
      <c r="E75" s="180">
        <v>0.5</v>
      </c>
      <c r="F75" s="853">
        <v>2</v>
      </c>
      <c r="G75" s="169">
        <f>+'VNR APROBADO'!S78</f>
        <v>101153.10369774089</v>
      </c>
      <c r="H75" s="173">
        <v>107420</v>
      </c>
      <c r="I75" s="1563"/>
    </row>
    <row r="76" spans="2:10" ht="15.75" thickBot="1" x14ac:dyDescent="0.25">
      <c r="B76" s="1637"/>
      <c r="C76" s="174" t="s">
        <v>43</v>
      </c>
      <c r="D76" s="175" t="s">
        <v>113</v>
      </c>
      <c r="E76" s="181">
        <v>30</v>
      </c>
      <c r="F76" s="854">
        <v>80</v>
      </c>
      <c r="G76" s="176">
        <f>+'VNR APROBADO'!S79</f>
        <v>5613997.2552246181</v>
      </c>
      <c r="H76" s="177">
        <v>107417.33333333333</v>
      </c>
      <c r="I76" s="1563"/>
    </row>
    <row r="77" spans="2:10" ht="35.25" customHeight="1" thickBot="1" x14ac:dyDescent="0.25">
      <c r="B77" s="209"/>
      <c r="C77" s="210" t="s">
        <v>149</v>
      </c>
      <c r="D77" s="210"/>
      <c r="E77" s="211">
        <f>SUM(E73:E76)</f>
        <v>38.299999999999997</v>
      </c>
      <c r="F77" s="845">
        <f>SUM(F73:F76)</f>
        <v>105</v>
      </c>
      <c r="G77" s="212">
        <f>SUM(G73:G76)</f>
        <v>7309323.2731987555</v>
      </c>
      <c r="H77" s="213">
        <f>+G77/E77</f>
        <v>190843.94969187354</v>
      </c>
      <c r="I77" s="1563">
        <f>+G77/E77</f>
        <v>190843.94969187354</v>
      </c>
      <c r="J77" s="70" t="s">
        <v>11</v>
      </c>
    </row>
    <row r="78" spans="2:10" ht="15.75" thickBot="1" x14ac:dyDescent="0.25"/>
    <row r="79" spans="2:10" ht="13.5" thickBot="1" x14ac:dyDescent="0.25">
      <c r="C79" s="162" t="s">
        <v>145</v>
      </c>
      <c r="D79" s="163"/>
      <c r="E79" s="1638" t="s">
        <v>146</v>
      </c>
      <c r="F79" s="1639"/>
      <c r="G79" s="1639"/>
      <c r="H79" s="1640"/>
    </row>
    <row r="80" spans="2:10" ht="32.25" thickBot="1" x14ac:dyDescent="0.25">
      <c r="B80" s="1580" t="s">
        <v>8</v>
      </c>
      <c r="C80" s="206" t="s">
        <v>114</v>
      </c>
      <c r="D80" s="206" t="s">
        <v>115</v>
      </c>
      <c r="E80" s="207" t="s">
        <v>116</v>
      </c>
      <c r="F80" s="850" t="s">
        <v>117</v>
      </c>
      <c r="G80" s="208" t="s">
        <v>44</v>
      </c>
      <c r="H80" s="205" t="s">
        <v>118</v>
      </c>
    </row>
    <row r="81" spans="1:9" ht="20.25" x14ac:dyDescent="0.3">
      <c r="B81" s="1579" t="s">
        <v>878</v>
      </c>
      <c r="C81" s="1546" t="s">
        <v>884</v>
      </c>
      <c r="D81" s="1546" t="s">
        <v>882</v>
      </c>
      <c r="E81">
        <v>48.35</v>
      </c>
      <c r="F81" s="855"/>
      <c r="G81" s="1645">
        <f>+'SALIDAS Y TRANSFORMACION'!E72</f>
        <v>54749</v>
      </c>
      <c r="H81" s="173">
        <f>+G81/2/E81</f>
        <v>566.17373319544981</v>
      </c>
    </row>
    <row r="82" spans="1:9" ht="15.75" thickBot="1" x14ac:dyDescent="0.25">
      <c r="B82" s="117"/>
      <c r="C82" s="1546" t="s">
        <v>884</v>
      </c>
      <c r="D82" s="1546" t="s">
        <v>883</v>
      </c>
      <c r="E82">
        <v>48.35</v>
      </c>
      <c r="F82" s="856"/>
      <c r="G82" s="1646"/>
      <c r="H82" s="173">
        <f>+G81/2/E82</f>
        <v>566.17373319544981</v>
      </c>
    </row>
    <row r="83" spans="1:9" ht="16.5" thickBot="1" x14ac:dyDescent="0.25">
      <c r="B83" s="117"/>
      <c r="C83" s="116"/>
      <c r="E83" s="211">
        <f>SUM(E81:E82)</f>
        <v>96.7</v>
      </c>
      <c r="F83" s="855"/>
      <c r="G83" s="213">
        <f>+G81</f>
        <v>54749</v>
      </c>
      <c r="H83" s="1562">
        <f>+G83/E83</f>
        <v>566.17373319544981</v>
      </c>
      <c r="I83" s="1563"/>
    </row>
    <row r="84" spans="1:9" x14ac:dyDescent="0.2">
      <c r="B84" s="117"/>
      <c r="C84" s="116"/>
      <c r="F84" s="855"/>
      <c r="G84" s="70"/>
    </row>
    <row r="85" spans="1:9" x14ac:dyDescent="0.2">
      <c r="B85" s="117"/>
      <c r="C85" s="116"/>
      <c r="F85" s="855"/>
    </row>
    <row r="86" spans="1:9" x14ac:dyDescent="0.2">
      <c r="B86" s="115"/>
      <c r="C86" s="116"/>
      <c r="F86" s="855"/>
    </row>
    <row r="87" spans="1:9" x14ac:dyDescent="0.2">
      <c r="B87" s="117"/>
      <c r="C87" s="116"/>
      <c r="F87" s="855"/>
    </row>
    <row r="88" spans="1:9" x14ac:dyDescent="0.2">
      <c r="B88" s="117"/>
      <c r="C88" s="116"/>
      <c r="F88" s="855"/>
    </row>
    <row r="89" spans="1:9" x14ac:dyDescent="0.2">
      <c r="C89" s="118"/>
      <c r="F89" s="855"/>
    </row>
    <row r="90" spans="1:9" ht="15.75" x14ac:dyDescent="0.2">
      <c r="A90" s="30"/>
      <c r="B90" s="119"/>
      <c r="C90" s="119"/>
      <c r="D90" s="119"/>
      <c r="E90" s="119"/>
      <c r="F90" s="857"/>
      <c r="G90" s="119"/>
    </row>
    <row r="91" spans="1:9" x14ac:dyDescent="0.2">
      <c r="F91" s="855"/>
      <c r="G91" s="70"/>
    </row>
    <row r="92" spans="1:9" x14ac:dyDescent="0.2">
      <c r="F92" s="855"/>
      <c r="G92" s="70"/>
    </row>
    <row r="93" spans="1:9" x14ac:dyDescent="0.2">
      <c r="F93" s="855"/>
      <c r="G93" s="70"/>
    </row>
    <row r="94" spans="1:9" x14ac:dyDescent="0.2">
      <c r="F94" s="855"/>
      <c r="G94" s="70"/>
    </row>
    <row r="95" spans="1:9" ht="15.75" x14ac:dyDescent="0.25">
      <c r="F95" s="858"/>
      <c r="G95" s="70"/>
    </row>
    <row r="96" spans="1:9" x14ac:dyDescent="0.2">
      <c r="F96" s="855"/>
    </row>
    <row r="97" spans="6:6" x14ac:dyDescent="0.2">
      <c r="F97" s="855"/>
    </row>
  </sheetData>
  <mergeCells count="25">
    <mergeCell ref="E79:H79"/>
    <mergeCell ref="G81:G82"/>
    <mergeCell ref="U31:U32"/>
    <mergeCell ref="W31:W32"/>
    <mergeCell ref="X31:X32"/>
    <mergeCell ref="K31:K32"/>
    <mergeCell ref="F31:F32"/>
    <mergeCell ref="H31:H32"/>
    <mergeCell ref="I31:I32"/>
    <mergeCell ref="L31:L32"/>
    <mergeCell ref="Z31:Z32"/>
    <mergeCell ref="N31:N32"/>
    <mergeCell ref="O31:O32"/>
    <mergeCell ref="Q31:Q32"/>
    <mergeCell ref="R31:R32"/>
    <mergeCell ref="T31:T32"/>
    <mergeCell ref="B1:G1"/>
    <mergeCell ref="B2:B3"/>
    <mergeCell ref="C2:C3"/>
    <mergeCell ref="B72:B76"/>
    <mergeCell ref="C72:H72"/>
    <mergeCell ref="B31:B32"/>
    <mergeCell ref="C31:C32"/>
    <mergeCell ref="E31:E32"/>
    <mergeCell ref="E69:H69"/>
  </mergeCells>
  <phoneticPr fontId="0" type="noConversion"/>
  <printOptions horizontalCentered="1" verticalCentered="1"/>
  <pageMargins left="0.47244094488188981" right="0.35433070866141736" top="0.6692913385826772" bottom="0.74803149606299213" header="0" footer="0"/>
  <pageSetup scale="80" orientation="landscape" r:id="rId1"/>
  <headerFooter alignWithMargins="0">
    <oddFooter>&amp;LARCHIVO: MRN/&amp;FHOJA: &amp;A&amp;R&amp;D</oddFooter>
  </headerFooter>
  <ignoredErrors>
    <ignoredError sqref="F22:F23 F27 F24:F2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B1:AA89"/>
  <sheetViews>
    <sheetView showGridLines="0" topLeftCell="A17" zoomScale="80" zoomScaleNormal="80" workbookViewId="0">
      <selection activeCell="B51" sqref="B51"/>
    </sheetView>
  </sheetViews>
  <sheetFormatPr baseColWidth="10" defaultColWidth="11.42578125" defaultRowHeight="15" x14ac:dyDescent="0.2"/>
  <cols>
    <col min="1" max="1" width="2.85546875" style="24" customWidth="1"/>
    <col min="2" max="2" width="44.7109375" style="24" customWidth="1"/>
    <col min="3" max="3" width="16.140625" style="24" customWidth="1"/>
    <col min="4" max="4" width="11.42578125" style="24"/>
    <col min="5" max="5" width="27.85546875" style="24" customWidth="1"/>
    <col min="6" max="6" width="22" style="24" customWidth="1"/>
    <col min="7" max="7" width="23" style="152" customWidth="1"/>
    <col min="8" max="8" width="25.42578125" style="24" customWidth="1"/>
    <col min="9" max="9" width="31" style="870" customWidth="1"/>
    <col min="10" max="11" width="19.28515625" style="870" customWidth="1"/>
    <col min="12" max="12" width="15.7109375" style="870" customWidth="1"/>
    <col min="13" max="13" width="19.5703125" style="870" customWidth="1"/>
    <col min="14" max="14" width="11.42578125" style="870"/>
    <col min="15" max="16" width="17.5703125" style="870" customWidth="1"/>
    <col min="17" max="17" width="14.28515625" style="870" bestFit="1" customWidth="1"/>
    <col min="18" max="18" width="15.28515625" style="870" customWidth="1"/>
    <col min="19" max="19" width="16" style="870" bestFit="1" customWidth="1"/>
    <col min="20" max="21" width="11.42578125" style="870"/>
    <col min="22" max="23" width="24.42578125" style="870" customWidth="1"/>
    <col min="24" max="27" width="24.42578125" style="24" customWidth="1"/>
    <col min="28" max="16384" width="11.42578125" style="24"/>
  </cols>
  <sheetData>
    <row r="1" spans="2:18" ht="18" x14ac:dyDescent="0.25">
      <c r="B1" s="1630" t="s">
        <v>13</v>
      </c>
      <c r="C1" s="1630"/>
      <c r="D1" s="1630"/>
      <c r="E1" s="1630"/>
      <c r="F1" s="1630"/>
      <c r="G1" s="45"/>
    </row>
    <row r="2" spans="2:18" ht="15.75" x14ac:dyDescent="0.25">
      <c r="B2" s="1630" t="s">
        <v>94</v>
      </c>
      <c r="C2" s="1630"/>
      <c r="D2" s="1630"/>
      <c r="E2" s="1630"/>
      <c r="F2" s="1630"/>
    </row>
    <row r="3" spans="2:18" x14ac:dyDescent="0.2">
      <c r="B3" s="1651" t="s">
        <v>75</v>
      </c>
      <c r="C3" s="1651"/>
      <c r="D3" s="1651"/>
      <c r="E3" s="1651"/>
      <c r="F3" s="1651"/>
      <c r="G3" s="31"/>
    </row>
    <row r="4" spans="2:18" ht="15.75" thickBot="1" x14ac:dyDescent="0.25">
      <c r="B4" s="1658" t="s">
        <v>80</v>
      </c>
      <c r="C4" s="1658"/>
      <c r="D4" s="1658"/>
      <c r="E4" s="1658"/>
      <c r="F4" s="1658"/>
      <c r="H4" s="873"/>
      <c r="I4" s="871"/>
    </row>
    <row r="5" spans="2:18" ht="34.9" customHeight="1" thickBot="1" x14ac:dyDescent="0.25">
      <c r="B5" s="1649" t="s">
        <v>32</v>
      </c>
      <c r="C5" s="1647" t="s">
        <v>17</v>
      </c>
      <c r="D5" s="1648"/>
      <c r="E5" s="1656" t="s">
        <v>182</v>
      </c>
      <c r="F5" s="1657"/>
      <c r="H5" s="872"/>
      <c r="I5" s="1278"/>
      <c r="J5" s="872"/>
      <c r="L5" s="872"/>
      <c r="N5" s="872"/>
      <c r="O5" s="1278"/>
    </row>
    <row r="6" spans="2:18" ht="15.75" thickBot="1" x14ac:dyDescent="0.25">
      <c r="B6" s="1650"/>
      <c r="C6" s="232" t="s">
        <v>83</v>
      </c>
      <c r="D6" s="233" t="s">
        <v>70</v>
      </c>
      <c r="E6" s="233" t="s">
        <v>45</v>
      </c>
      <c r="F6" s="234" t="s">
        <v>46</v>
      </c>
      <c r="H6" s="872"/>
      <c r="I6" s="1278"/>
      <c r="J6" s="872"/>
      <c r="L6" s="872"/>
      <c r="N6" s="872"/>
      <c r="O6" s="1278"/>
    </row>
    <row r="7" spans="2:18" ht="13.5" customHeight="1" x14ac:dyDescent="0.2">
      <c r="B7" s="1495" t="s">
        <v>333</v>
      </c>
      <c r="C7" s="1270" t="s">
        <v>81</v>
      </c>
      <c r="D7" s="1123">
        <v>100</v>
      </c>
      <c r="E7" s="1491">
        <f>+'VNR APROBADO'!C40*0.205849000975751</f>
        <v>3116671.8141370788</v>
      </c>
      <c r="F7" s="1124">
        <f>E7/D7</f>
        <v>31166.718141370788</v>
      </c>
      <c r="G7" s="886" t="s">
        <v>644</v>
      </c>
      <c r="H7" s="1279"/>
      <c r="I7" s="1278"/>
      <c r="J7" s="872"/>
      <c r="O7" s="1278"/>
    </row>
    <row r="8" spans="2:18" x14ac:dyDescent="0.2">
      <c r="B8" s="1487" t="s">
        <v>333</v>
      </c>
      <c r="C8" s="1271" t="s">
        <v>81</v>
      </c>
      <c r="D8" s="420">
        <v>140</v>
      </c>
      <c r="E8" s="1492">
        <f>+'VNR APROBADO'!C40*0.34737018914658</f>
        <v>5259383.6863563238</v>
      </c>
      <c r="F8" s="37">
        <f t="shared" ref="F8:F13" si="0">E8/D8</f>
        <v>37567.026331116598</v>
      </c>
      <c r="G8" s="886" t="str">
        <f>+G7</f>
        <v>Daniel LLS</v>
      </c>
      <c r="H8" s="1280"/>
      <c r="I8" s="1277"/>
      <c r="J8" s="872"/>
      <c r="K8" s="38"/>
      <c r="L8" s="872"/>
    </row>
    <row r="9" spans="2:18" x14ac:dyDescent="0.2">
      <c r="B9" s="1487" t="s">
        <v>559</v>
      </c>
      <c r="C9" s="36" t="s">
        <v>82</v>
      </c>
      <c r="D9" s="420">
        <v>1</v>
      </c>
      <c r="E9" s="1493">
        <f>+'VNR APROBADO'!C40-E7-E8</f>
        <v>6764517.4406607905</v>
      </c>
      <c r="F9" s="37">
        <f t="shared" si="0"/>
        <v>6764517.4406607905</v>
      </c>
      <c r="G9" s="886"/>
      <c r="H9" s="1276"/>
      <c r="I9" s="872"/>
    </row>
    <row r="10" spans="2:18" x14ac:dyDescent="0.2">
      <c r="B10" s="1496" t="s">
        <v>47</v>
      </c>
      <c r="C10" s="36" t="s">
        <v>82</v>
      </c>
      <c r="D10" s="1125">
        <v>3</v>
      </c>
      <c r="E10" s="1499">
        <f>+'VNR APROBADO'!D40</f>
        <v>9091935.0774996206</v>
      </c>
      <c r="F10" s="37">
        <f t="shared" si="0"/>
        <v>3030645.0258332067</v>
      </c>
      <c r="G10" s="398"/>
      <c r="J10" s="856"/>
    </row>
    <row r="11" spans="2:18" ht="15.75" thickBot="1" x14ac:dyDescent="0.25">
      <c r="B11" s="1497" t="s">
        <v>48</v>
      </c>
      <c r="C11" s="1490" t="s">
        <v>82</v>
      </c>
      <c r="D11" s="1482">
        <v>1</v>
      </c>
      <c r="E11" s="1500">
        <f>+'VNR APROBADO'!E40</f>
        <v>5855092.4206197709</v>
      </c>
      <c r="F11" s="1483">
        <f t="shared" si="0"/>
        <v>5855092.4206197709</v>
      </c>
      <c r="G11" s="374" t="s">
        <v>44</v>
      </c>
      <c r="H11" s="375"/>
      <c r="I11" s="872"/>
    </row>
    <row r="12" spans="2:18" x14ac:dyDescent="0.2">
      <c r="B12" s="1488" t="s">
        <v>49</v>
      </c>
      <c r="C12" s="1480" t="s">
        <v>82</v>
      </c>
      <c r="D12" s="1123">
        <v>1</v>
      </c>
      <c r="E12" s="1503">
        <f>+'VNR APROBADO'!D42</f>
        <v>1182682.9485038896</v>
      </c>
      <c r="F12" s="1124">
        <f t="shared" si="0"/>
        <v>1182682.9485038896</v>
      </c>
      <c r="G12" s="374" t="s">
        <v>44</v>
      </c>
      <c r="H12" s="38"/>
      <c r="J12" s="856"/>
    </row>
    <row r="13" spans="2:18" x14ac:dyDescent="0.2">
      <c r="B13" s="1494" t="s">
        <v>50</v>
      </c>
      <c r="C13" s="36" t="s">
        <v>82</v>
      </c>
      <c r="D13" s="420">
        <v>3</v>
      </c>
      <c r="E13" s="1504">
        <f>+'VNR APROBADO'!E42</f>
        <v>4196585.4631489115</v>
      </c>
      <c r="F13" s="37">
        <f t="shared" si="0"/>
        <v>1398861.8210496372</v>
      </c>
      <c r="G13" s="374" t="s">
        <v>44</v>
      </c>
      <c r="H13" s="375"/>
      <c r="I13" s="872"/>
      <c r="P13" s="1275"/>
      <c r="Q13" s="872"/>
      <c r="R13" s="872"/>
    </row>
    <row r="14" spans="2:18" ht="15.75" thickBot="1" x14ac:dyDescent="0.25">
      <c r="B14" s="1489" t="s">
        <v>328</v>
      </c>
      <c r="C14" s="1490"/>
      <c r="D14" s="1482">
        <v>0</v>
      </c>
      <c r="E14" s="1505">
        <f>+'VNR APROBADO'!C42</f>
        <v>0</v>
      </c>
      <c r="F14" s="1483">
        <v>0</v>
      </c>
      <c r="G14" s="374"/>
      <c r="H14" s="375"/>
      <c r="J14" s="856"/>
      <c r="P14" s="1275"/>
      <c r="Q14" s="872"/>
      <c r="R14" s="872"/>
    </row>
    <row r="15" spans="2:18" ht="12.75" customHeight="1" x14ac:dyDescent="0.2">
      <c r="B15" s="1516" t="s">
        <v>51</v>
      </c>
      <c r="C15" s="1480" t="s">
        <v>82</v>
      </c>
      <c r="D15" s="1123">
        <v>1</v>
      </c>
      <c r="E15" s="1501">
        <f>+'VNR APROBADO'!D44</f>
        <v>828218.81634660007</v>
      </c>
      <c r="F15" s="1124">
        <f>E15/D15</f>
        <v>828218.81634660007</v>
      </c>
      <c r="G15" s="1652" t="s">
        <v>645</v>
      </c>
      <c r="H15" s="1653"/>
      <c r="I15" s="872"/>
      <c r="P15" s="1274"/>
      <c r="Q15" s="1274"/>
      <c r="R15" s="872"/>
    </row>
    <row r="16" spans="2:18" ht="15.75" thickBot="1" x14ac:dyDescent="0.25">
      <c r="B16" s="1521" t="s">
        <v>52</v>
      </c>
      <c r="C16" s="1522" t="s">
        <v>81</v>
      </c>
      <c r="D16" s="1523">
        <v>24</v>
      </c>
      <c r="E16" s="1515"/>
      <c r="F16" s="1483">
        <f t="shared" ref="F16:F23" si="1">E16/D16</f>
        <v>0</v>
      </c>
      <c r="G16" s="1652"/>
      <c r="H16" s="1653"/>
      <c r="J16" s="856"/>
      <c r="Q16" s="1274"/>
    </row>
    <row r="17" spans="2:19" ht="15.75" thickBot="1" x14ac:dyDescent="0.25">
      <c r="B17" s="1520" t="s">
        <v>53</v>
      </c>
      <c r="C17" s="1511" t="s">
        <v>82</v>
      </c>
      <c r="D17" s="1512">
        <v>4</v>
      </c>
      <c r="E17" s="1513">
        <f>+'VNR APROBADO'!E41</f>
        <v>7917797.3363252003</v>
      </c>
      <c r="F17" s="1514">
        <f t="shared" si="1"/>
        <v>1979449.3340813001</v>
      </c>
      <c r="G17" s="374" t="s">
        <v>44</v>
      </c>
      <c r="H17" s="38"/>
      <c r="I17" s="872"/>
      <c r="Q17" s="1274"/>
    </row>
    <row r="18" spans="2:19" x14ac:dyDescent="0.2">
      <c r="B18" s="1517" t="s">
        <v>54</v>
      </c>
      <c r="C18" s="1506" t="s">
        <v>82</v>
      </c>
      <c r="D18" s="1507">
        <v>6</v>
      </c>
      <c r="E18" s="1508">
        <f>+'VNR APROBADO'!E38</f>
        <v>26546603.501304794</v>
      </c>
      <c r="F18" s="1509">
        <f t="shared" si="1"/>
        <v>4424433.9168841327</v>
      </c>
      <c r="G18" s="374" t="s">
        <v>44</v>
      </c>
      <c r="H18" s="38"/>
      <c r="J18" s="856"/>
    </row>
    <row r="19" spans="2:19" x14ac:dyDescent="0.2">
      <c r="B19" s="1518" t="s">
        <v>55</v>
      </c>
      <c r="C19" s="1477" t="s">
        <v>82</v>
      </c>
      <c r="D19" s="1478">
        <v>3</v>
      </c>
      <c r="E19" s="1510">
        <f>+'VNR APROBADO'!C38-E20-E21</f>
        <v>11713684.114110725</v>
      </c>
      <c r="F19" s="1479">
        <f t="shared" si="1"/>
        <v>3904561.3713702415</v>
      </c>
      <c r="G19" s="418"/>
      <c r="H19" s="419"/>
      <c r="I19" s="872"/>
    </row>
    <row r="20" spans="2:19" x14ac:dyDescent="0.2">
      <c r="B20" s="1519" t="s">
        <v>334</v>
      </c>
      <c r="C20" s="1271" t="s">
        <v>81</v>
      </c>
      <c r="D20" s="420">
        <v>100</v>
      </c>
      <c r="E20" s="1484">
        <f>+'VNR APROBADO'!C38*0.129626861747422</f>
        <v>2345339.9460999537</v>
      </c>
      <c r="F20" s="37">
        <f t="shared" si="1"/>
        <v>23453.399460999539</v>
      </c>
      <c r="G20" s="418" t="s">
        <v>646</v>
      </c>
      <c r="H20" s="419"/>
      <c r="J20" s="856"/>
      <c r="Q20" s="872"/>
      <c r="S20" s="872"/>
    </row>
    <row r="21" spans="2:19" ht="15.75" thickBot="1" x14ac:dyDescent="0.25">
      <c r="B21" s="1502" t="s">
        <v>334</v>
      </c>
      <c r="C21" s="1481" t="s">
        <v>81</v>
      </c>
      <c r="D21" s="1482">
        <v>100</v>
      </c>
      <c r="E21" s="1485">
        <f>+'VNR APROBADO'!C38*0.222958202205566</f>
        <v>4033984.7072919239</v>
      </c>
      <c r="F21" s="1483">
        <f t="shared" si="1"/>
        <v>40339.847072919241</v>
      </c>
      <c r="G21" s="418" t="s">
        <v>646</v>
      </c>
      <c r="H21" s="419"/>
      <c r="I21" s="872"/>
    </row>
    <row r="22" spans="2:19" ht="15.75" thickBot="1" x14ac:dyDescent="0.25">
      <c r="B22" s="1527" t="s">
        <v>329</v>
      </c>
      <c r="C22" s="1524" t="s">
        <v>82</v>
      </c>
      <c r="D22" s="1525">
        <v>1</v>
      </c>
      <c r="E22" s="1528">
        <f>+'VNR APROBADO'!C39</f>
        <v>3149681.1047364003</v>
      </c>
      <c r="F22" s="1526">
        <f>E22/D22</f>
        <v>3149681.1047364003</v>
      </c>
      <c r="G22" s="374" t="s">
        <v>44</v>
      </c>
      <c r="H22" s="38"/>
      <c r="J22" s="856"/>
      <c r="P22" s="872"/>
    </row>
    <row r="23" spans="2:19" x14ac:dyDescent="0.2">
      <c r="B23" s="1529" t="s">
        <v>154</v>
      </c>
      <c r="C23" s="1480" t="s">
        <v>82</v>
      </c>
      <c r="D23" s="1123">
        <v>1</v>
      </c>
      <c r="E23" s="1532">
        <f>+'VNR APROBADO'!D43</f>
        <v>147410.97308251241</v>
      </c>
      <c r="F23" s="1124">
        <f t="shared" si="1"/>
        <v>147410.97308251241</v>
      </c>
      <c r="G23" s="374" t="s">
        <v>44</v>
      </c>
      <c r="H23" s="398"/>
      <c r="I23" s="872"/>
    </row>
    <row r="24" spans="2:19" ht="16.5" customHeight="1" thickBot="1" x14ac:dyDescent="0.25">
      <c r="B24" s="1530" t="s">
        <v>102</v>
      </c>
      <c r="C24" s="1490" t="s">
        <v>82</v>
      </c>
      <c r="D24" s="1482">
        <v>2</v>
      </c>
      <c r="E24" s="1533">
        <f>+'VNR APROBADO'!E43</f>
        <v>1723388.6714942877</v>
      </c>
      <c r="F24" s="1483">
        <f>E24/D24</f>
        <v>861694.33574714384</v>
      </c>
      <c r="G24" s="374" t="s">
        <v>44</v>
      </c>
      <c r="H24" s="398">
        <f>+'SALIDAS Y TRANSFORMACION'!D46+'SALIDAS Y TRANSFORMACION'!D48+'SALIDAS Y TRANSFORMACION'!D47+'SALIDAS Y TRANSFORMACION'!D50+'SALIDAS Y TRANSFORMACION'!D51</f>
        <v>7</v>
      </c>
      <c r="J24" s="856"/>
    </row>
    <row r="25" spans="2:19" ht="16.5" customHeight="1" x14ac:dyDescent="0.2">
      <c r="B25" s="1531" t="s">
        <v>230</v>
      </c>
      <c r="C25" s="1511" t="s">
        <v>82</v>
      </c>
      <c r="D25" s="1272">
        <v>1</v>
      </c>
      <c r="E25" s="1534">
        <f>+'VNR APROBADO'!C45</f>
        <v>4825897.6157364016</v>
      </c>
      <c r="F25" s="1513">
        <f t="shared" ref="F25:F26" si="2">E25/D25</f>
        <v>4825897.6157364016</v>
      </c>
      <c r="G25" s="374"/>
      <c r="H25" s="398"/>
      <c r="I25" s="872"/>
    </row>
    <row r="26" spans="2:19" ht="16.5" customHeight="1" x14ac:dyDescent="0.2">
      <c r="B26" s="1531" t="s">
        <v>747</v>
      </c>
      <c r="C26" s="1014" t="s">
        <v>82</v>
      </c>
      <c r="D26" s="1272">
        <v>1</v>
      </c>
      <c r="E26" s="1534">
        <f>+'VNR APROBADO'!C46</f>
        <v>4825897.6157364016</v>
      </c>
      <c r="F26" s="1273">
        <f t="shared" si="2"/>
        <v>4825897.6157364016</v>
      </c>
      <c r="G26" s="374"/>
      <c r="H26" s="398"/>
      <c r="J26" s="856"/>
      <c r="P26" s="24"/>
    </row>
    <row r="27" spans="2:19" ht="16.5" customHeight="1" x14ac:dyDescent="0.2">
      <c r="B27" s="1015"/>
      <c r="C27" s="1659" t="s">
        <v>657</v>
      </c>
      <c r="D27" s="1659"/>
      <c r="E27" s="1016">
        <f>SUM(E7:E26)</f>
        <v>103524773.25319158</v>
      </c>
      <c r="F27" s="1017">
        <f>SUM(F7:F26)</f>
        <v>43311571.731394835</v>
      </c>
      <c r="G27" s="374"/>
      <c r="H27" s="398"/>
      <c r="I27" s="872"/>
      <c r="P27" s="24"/>
    </row>
    <row r="28" spans="2:19" ht="16.5" customHeight="1" x14ac:dyDescent="0.2">
      <c r="B28" s="1018" t="s">
        <v>656</v>
      </c>
      <c r="C28" s="1019"/>
      <c r="D28" s="1019"/>
      <c r="E28" s="1016"/>
      <c r="F28" s="1020"/>
      <c r="G28" s="374"/>
      <c r="H28" s="398"/>
      <c r="J28" s="856"/>
      <c r="P28" s="24"/>
    </row>
    <row r="29" spans="2:19" ht="16.5" customHeight="1" x14ac:dyDescent="0.25">
      <c r="B29" s="1015" t="s">
        <v>294</v>
      </c>
      <c r="C29" s="1021" t="s">
        <v>293</v>
      </c>
      <c r="D29" s="1019">
        <v>5.8</v>
      </c>
      <c r="E29" s="1016">
        <f>+'VNR APROBADO'!S76</f>
        <v>1250252.3617040773</v>
      </c>
      <c r="F29" s="1020">
        <f t="shared" ref="F29:F32" si="3">E29/D29</f>
        <v>215560.75201794438</v>
      </c>
      <c r="G29" s="374"/>
      <c r="H29" s="398"/>
      <c r="I29" s="872"/>
    </row>
    <row r="30" spans="2:19" ht="16.5" customHeight="1" x14ac:dyDescent="0.25">
      <c r="B30" s="1015" t="s">
        <v>297</v>
      </c>
      <c r="C30" s="1021" t="s">
        <v>296</v>
      </c>
      <c r="D30" s="1019">
        <v>2</v>
      </c>
      <c r="E30" s="1016">
        <f>+'VNR APROBADO'!S77</f>
        <v>343920.55257231899</v>
      </c>
      <c r="F30" s="1020">
        <f t="shared" si="3"/>
        <v>171960.2762861595</v>
      </c>
      <c r="G30" s="374"/>
      <c r="H30" s="398"/>
      <c r="J30" s="856"/>
    </row>
    <row r="31" spans="2:19" ht="16.5" customHeight="1" x14ac:dyDescent="0.25">
      <c r="B31" s="1015" t="s">
        <v>300</v>
      </c>
      <c r="C31" s="1021" t="s">
        <v>299</v>
      </c>
      <c r="D31" s="1019">
        <v>0.5</v>
      </c>
      <c r="E31" s="1016">
        <f>+'VNR APROBADO'!S78</f>
        <v>101153.10369774089</v>
      </c>
      <c r="F31" s="1020">
        <f t="shared" si="3"/>
        <v>202306.20739548179</v>
      </c>
      <c r="G31" s="374"/>
      <c r="H31" s="398"/>
      <c r="I31" s="872"/>
    </row>
    <row r="32" spans="2:19" ht="16.5" customHeight="1" x14ac:dyDescent="0.25">
      <c r="B32" s="1015" t="s">
        <v>303</v>
      </c>
      <c r="C32" s="1021" t="s">
        <v>302</v>
      </c>
      <c r="D32" s="1019">
        <v>30</v>
      </c>
      <c r="E32" s="1016">
        <f>+'VNR APROBADO'!S79</f>
        <v>5613997.2552246181</v>
      </c>
      <c r="F32" s="1020">
        <f t="shared" si="3"/>
        <v>187133.24184082061</v>
      </c>
      <c r="G32" s="374"/>
      <c r="H32" s="398"/>
      <c r="J32" s="856"/>
    </row>
    <row r="33" spans="2:27" ht="16.5" customHeight="1" thickBot="1" x14ac:dyDescent="0.25">
      <c r="B33" s="1022"/>
      <c r="C33" s="1660" t="s">
        <v>658</v>
      </c>
      <c r="D33" s="1660"/>
      <c r="E33" s="1023">
        <f>SUM(E29:E32)</f>
        <v>7309323.2731987555</v>
      </c>
      <c r="F33" s="1024">
        <f>SUM(F29:F32)</f>
        <v>776960.47754040628</v>
      </c>
      <c r="G33" s="374"/>
      <c r="H33" s="398"/>
      <c r="I33" s="872"/>
    </row>
    <row r="34" spans="2:27" ht="16.5" customHeight="1" thickBot="1" x14ac:dyDescent="0.25">
      <c r="C34" s="152"/>
      <c r="D34" s="152"/>
      <c r="E34" s="936"/>
      <c r="F34" s="937"/>
      <c r="G34" s="374"/>
      <c r="H34" s="398"/>
      <c r="J34" s="856"/>
    </row>
    <row r="35" spans="2:27" ht="16.5" thickBot="1" x14ac:dyDescent="0.3">
      <c r="B35" s="1654" t="s">
        <v>84</v>
      </c>
      <c r="C35" s="1654"/>
      <c r="D35" s="1655"/>
      <c r="E35" s="235">
        <f>+E33+E27</f>
        <v>110834096.52639033</v>
      </c>
      <c r="F35" s="235">
        <f>+F33+F27</f>
        <v>44088532.208935238</v>
      </c>
      <c r="G35" s="638"/>
      <c r="H35" s="864"/>
      <c r="I35" s="872"/>
    </row>
    <row r="36" spans="2:27" ht="15.75" thickBot="1" x14ac:dyDescent="0.25">
      <c r="F36" s="38"/>
      <c r="G36" s="638"/>
      <c r="H36" s="638"/>
      <c r="I36" s="875"/>
      <c r="J36" s="875"/>
      <c r="K36" s="874"/>
    </row>
    <row r="37" spans="2:27" ht="16.5" thickBot="1" x14ac:dyDescent="0.3">
      <c r="B37" s="236" t="s">
        <v>56</v>
      </c>
      <c r="C37" s="236"/>
      <c r="D37" s="236" t="s">
        <v>2</v>
      </c>
      <c r="E37" s="236" t="s">
        <v>45</v>
      </c>
      <c r="F37" s="237" t="s">
        <v>57</v>
      </c>
      <c r="G37" s="638"/>
      <c r="H37" s="638"/>
      <c r="I37" s="875"/>
      <c r="J37" s="875"/>
      <c r="K37" s="874"/>
      <c r="W37" s="876" t="s">
        <v>327</v>
      </c>
    </row>
    <row r="38" spans="2:27" x14ac:dyDescent="0.2">
      <c r="B38" s="39" t="str">
        <f>B7</f>
        <v>Llano Sánchez Transformador 100MVA</v>
      </c>
      <c r="C38" s="39"/>
      <c r="D38" s="49">
        <f>+D7</f>
        <v>100</v>
      </c>
      <c r="E38" s="50">
        <f>+E7</f>
        <v>3116671.8141370788</v>
      </c>
      <c r="F38" s="178">
        <f t="shared" ref="F38:F41" si="4">+E38/D38</f>
        <v>31166.718141370788</v>
      </c>
      <c r="G38" s="24"/>
      <c r="H38" s="638"/>
      <c r="I38" s="875"/>
      <c r="J38" s="875"/>
      <c r="K38" s="874"/>
      <c r="W38" s="855" t="s">
        <v>312</v>
      </c>
      <c r="X38" s="370" t="s">
        <v>289</v>
      </c>
      <c r="Y38" s="371" t="s">
        <v>313</v>
      </c>
      <c r="Z38" s="371"/>
      <c r="AA38" s="371"/>
    </row>
    <row r="39" spans="2:27" x14ac:dyDescent="0.2">
      <c r="B39" s="40" t="str">
        <f>B8</f>
        <v>Llano Sánchez Transformador 100MVA</v>
      </c>
      <c r="C39" s="40"/>
      <c r="D39" s="58">
        <f>+D8</f>
        <v>140</v>
      </c>
      <c r="E39" s="55">
        <f>+E8</f>
        <v>5259383.6863563238</v>
      </c>
      <c r="F39" s="55">
        <f t="shared" si="4"/>
        <v>37567.026331116598</v>
      </c>
      <c r="G39" s="638"/>
      <c r="H39" s="638"/>
      <c r="I39" s="875"/>
      <c r="J39" s="875"/>
      <c r="K39" s="874"/>
      <c r="V39" s="877"/>
      <c r="W39" s="855"/>
      <c r="X39" s="370"/>
      <c r="Y39" s="371" t="s">
        <v>12</v>
      </c>
      <c r="Z39" s="371" t="s">
        <v>314</v>
      </c>
      <c r="AA39" s="371" t="s">
        <v>315</v>
      </c>
    </row>
    <row r="40" spans="2:27" x14ac:dyDescent="0.2">
      <c r="B40" s="40" t="str">
        <f>B20</f>
        <v>Chorrera Transformador 100MVA</v>
      </c>
      <c r="C40" s="40"/>
      <c r="D40" s="58">
        <f>+D20</f>
        <v>100</v>
      </c>
      <c r="E40" s="55">
        <f>+E20</f>
        <v>2345339.9460999537</v>
      </c>
      <c r="F40" s="55">
        <f t="shared" si="4"/>
        <v>23453.399460999539</v>
      </c>
      <c r="G40" s="24"/>
      <c r="H40" s="638"/>
      <c r="I40" s="875"/>
      <c r="J40" s="875"/>
      <c r="K40" s="874"/>
      <c r="V40" s="878"/>
      <c r="W40" s="855" t="s">
        <v>316</v>
      </c>
      <c r="X40" s="370">
        <v>13042511.423302801</v>
      </c>
      <c r="Y40" s="371">
        <v>11000880.043140713</v>
      </c>
      <c r="Z40" s="371">
        <v>6296770.5335651999</v>
      </c>
      <c r="AA40" s="371">
        <v>4704109.5095755132</v>
      </c>
    </row>
    <row r="41" spans="2:27" x14ac:dyDescent="0.2">
      <c r="B41" s="40" t="str">
        <f>+B21</f>
        <v>Chorrera Transformador 100MVA</v>
      </c>
      <c r="C41" s="149"/>
      <c r="D41" s="150">
        <f>+D21</f>
        <v>100</v>
      </c>
      <c r="E41" s="55">
        <f>+E21</f>
        <v>4033984.7072919239</v>
      </c>
      <c r="F41" s="55">
        <f t="shared" si="4"/>
        <v>40339.847072919241</v>
      </c>
      <c r="G41" s="638"/>
      <c r="H41" s="638"/>
      <c r="I41" s="875"/>
      <c r="J41" s="875"/>
      <c r="K41" s="874"/>
      <c r="V41" s="878"/>
      <c r="W41" s="855"/>
      <c r="X41" s="370"/>
      <c r="Y41" s="371"/>
      <c r="Z41" s="371"/>
      <c r="AA41" s="371"/>
    </row>
    <row r="42" spans="2:27" ht="15.75" thickBot="1" x14ac:dyDescent="0.25">
      <c r="B42" s="41" t="s">
        <v>52</v>
      </c>
      <c r="C42" s="41"/>
      <c r="D42" s="65">
        <f>+D16</f>
        <v>24</v>
      </c>
      <c r="E42" s="51">
        <f>+E16</f>
        <v>0</v>
      </c>
      <c r="F42" s="51">
        <f>E42/D42</f>
        <v>0</v>
      </c>
      <c r="G42" s="638"/>
      <c r="H42" s="638"/>
      <c r="I42" s="875"/>
      <c r="J42" s="875"/>
      <c r="K42" s="874"/>
      <c r="V42" s="879">
        <v>10442596</v>
      </c>
      <c r="W42" s="855" t="s">
        <v>317</v>
      </c>
      <c r="X42" s="370">
        <v>7793257.5771326218</v>
      </c>
      <c r="Y42" s="371">
        <v>6234606.0617060978</v>
      </c>
      <c r="Z42" s="371"/>
      <c r="AA42" s="371">
        <v>6234606.0617060978</v>
      </c>
    </row>
    <row r="43" spans="2:27" x14ac:dyDescent="0.2">
      <c r="E43" s="42"/>
      <c r="F43" s="42"/>
      <c r="H43" s="638"/>
      <c r="I43" s="875"/>
      <c r="J43" s="875"/>
      <c r="K43" s="874"/>
      <c r="V43" s="880" t="e">
        <f>+V42/V40</f>
        <v>#DIV/0!</v>
      </c>
      <c r="W43" s="855" t="s">
        <v>318</v>
      </c>
      <c r="X43" s="370">
        <v>13408583.418864001</v>
      </c>
      <c r="Y43" s="371">
        <v>11377726.075198699</v>
      </c>
      <c r="Z43" s="371">
        <v>11181420.995565601</v>
      </c>
      <c r="AA43" s="371">
        <v>196305.0796330981</v>
      </c>
    </row>
    <row r="44" spans="2:27" ht="15.75" thickBot="1" x14ac:dyDescent="0.25">
      <c r="E44" s="43"/>
      <c r="F44" s="43"/>
      <c r="J44" s="875"/>
      <c r="K44" s="874"/>
    </row>
    <row r="45" spans="2:27" ht="15" customHeight="1" thickBot="1" x14ac:dyDescent="0.25">
      <c r="B45" s="237" t="s">
        <v>58</v>
      </c>
      <c r="C45" s="237"/>
      <c r="D45" s="237" t="s">
        <v>59</v>
      </c>
      <c r="E45" s="237" t="s">
        <v>45</v>
      </c>
      <c r="F45" s="237" t="s">
        <v>60</v>
      </c>
      <c r="G45" s="237" t="s">
        <v>61</v>
      </c>
      <c r="H45" s="237" t="s">
        <v>67</v>
      </c>
      <c r="J45" s="875"/>
      <c r="K45" s="874"/>
      <c r="V45" s="877"/>
      <c r="W45" s="855" t="s">
        <v>319</v>
      </c>
      <c r="X45" s="370">
        <v>6487434.8633179916</v>
      </c>
      <c r="Y45" s="371">
        <v>5189947.8906543935</v>
      </c>
      <c r="Z45" s="371"/>
      <c r="AA45" s="371">
        <v>5189947.8906543935</v>
      </c>
    </row>
    <row r="46" spans="2:27" ht="15" customHeight="1" x14ac:dyDescent="0.2">
      <c r="B46" s="39" t="s">
        <v>166</v>
      </c>
      <c r="C46" s="39"/>
      <c r="D46" s="49">
        <v>1</v>
      </c>
      <c r="E46" s="50">
        <f>+E22</f>
        <v>3149681.1047364003</v>
      </c>
      <c r="F46" s="123">
        <f>+E46/D46</f>
        <v>3149681.1047364003</v>
      </c>
      <c r="G46" s="382" t="s">
        <v>66</v>
      </c>
      <c r="H46" s="48" t="s">
        <v>11</v>
      </c>
      <c r="J46" s="875"/>
      <c r="K46" s="874"/>
      <c r="V46" s="877"/>
      <c r="W46" s="855"/>
      <c r="X46" s="370"/>
      <c r="Y46" s="371"/>
      <c r="Z46" s="371"/>
      <c r="AA46" s="371"/>
    </row>
    <row r="47" spans="2:27" x14ac:dyDescent="0.2">
      <c r="B47" s="40" t="str">
        <f>+B9</f>
        <v>Llano Sánchez 230</v>
      </c>
      <c r="C47" s="40"/>
      <c r="D47" s="58">
        <f>+D9</f>
        <v>1</v>
      </c>
      <c r="E47" s="55">
        <f>+E9</f>
        <v>6764517.4406607905</v>
      </c>
      <c r="F47" s="55">
        <f>+E47/D47</f>
        <v>6764517.4406607905</v>
      </c>
      <c r="G47" s="153"/>
      <c r="H47" s="47"/>
      <c r="J47" s="875"/>
      <c r="K47" s="874"/>
      <c r="V47" s="877"/>
      <c r="W47" s="855" t="s">
        <v>320</v>
      </c>
      <c r="X47" s="370">
        <v>2558971.1588577474</v>
      </c>
      <c r="Y47" s="371">
        <v>2047176.927086198</v>
      </c>
      <c r="Z47" s="371"/>
      <c r="AA47" s="371">
        <v>2047176.927086198</v>
      </c>
    </row>
    <row r="48" spans="2:27" ht="15.75" x14ac:dyDescent="0.25">
      <c r="B48" s="377" t="str">
        <f>B19</f>
        <v>Chorrera 230</v>
      </c>
      <c r="C48" s="149"/>
      <c r="D48" s="150">
        <f>+D19</f>
        <v>3</v>
      </c>
      <c r="E48" s="859">
        <f>+E19</f>
        <v>11713684.114110725</v>
      </c>
      <c r="F48" s="639">
        <f>+E48/D48</f>
        <v>3904561.3713702415</v>
      </c>
      <c r="G48" s="153" t="s">
        <v>66</v>
      </c>
      <c r="H48" s="151"/>
      <c r="J48" s="875"/>
      <c r="K48" s="874"/>
      <c r="V48" s="877"/>
      <c r="W48" s="881" t="s">
        <v>321</v>
      </c>
      <c r="X48" s="372">
        <v>6333146.9132671673</v>
      </c>
      <c r="Y48" s="371">
        <v>5066517.5306137344</v>
      </c>
      <c r="Z48" s="371"/>
      <c r="AA48" s="371">
        <v>5066517.5306137344</v>
      </c>
    </row>
    <row r="49" spans="2:27" ht="15.75" x14ac:dyDescent="0.25">
      <c r="B49" s="376" t="s">
        <v>684</v>
      </c>
      <c r="C49" s="149"/>
      <c r="D49" s="150"/>
      <c r="E49" s="859">
        <v>0</v>
      </c>
      <c r="F49" s="124">
        <v>0</v>
      </c>
      <c r="G49" s="153"/>
      <c r="H49" s="151"/>
      <c r="J49" s="875"/>
      <c r="K49" s="874"/>
      <c r="V49" s="877"/>
      <c r="W49" s="881"/>
      <c r="X49" s="372"/>
      <c r="Y49" s="371"/>
      <c r="Z49" s="371"/>
      <c r="AA49" s="371"/>
    </row>
    <row r="50" spans="2:27" ht="15.75" x14ac:dyDescent="0.25">
      <c r="B50" s="376" t="s">
        <v>230</v>
      </c>
      <c r="C50" s="149"/>
      <c r="D50" s="150">
        <v>1</v>
      </c>
      <c r="E50" s="859">
        <f>+E25</f>
        <v>4825897.6157364016</v>
      </c>
      <c r="F50" s="124">
        <f t="shared" ref="F50:F51" si="5">+E50/D50</f>
        <v>4825897.6157364016</v>
      </c>
      <c r="G50" s="153"/>
      <c r="H50" s="151"/>
      <c r="J50" s="875"/>
      <c r="K50" s="874"/>
      <c r="V50" s="877"/>
      <c r="W50" s="881"/>
      <c r="X50" s="372"/>
      <c r="Y50" s="371"/>
      <c r="Z50" s="371"/>
      <c r="AA50" s="371"/>
    </row>
    <row r="51" spans="2:27" ht="16.5" thickBot="1" x14ac:dyDescent="0.3">
      <c r="B51" s="866" t="s">
        <v>747</v>
      </c>
      <c r="C51" s="41"/>
      <c r="D51" s="65">
        <v>1</v>
      </c>
      <c r="E51" s="51">
        <f>+E26</f>
        <v>4825897.6157364016</v>
      </c>
      <c r="F51" s="54">
        <f t="shared" si="5"/>
        <v>4825897.6157364016</v>
      </c>
      <c r="G51" s="154"/>
      <c r="H51" s="46"/>
      <c r="J51" s="875"/>
      <c r="K51" s="874"/>
      <c r="V51" s="877"/>
      <c r="W51" s="881"/>
      <c r="X51" s="372"/>
      <c r="Y51" s="371"/>
      <c r="Z51" s="371"/>
      <c r="AA51" s="371"/>
    </row>
    <row r="52" spans="2:27" ht="16.5" thickBot="1" x14ac:dyDescent="0.3">
      <c r="E52" s="43"/>
      <c r="F52" s="43"/>
      <c r="J52" s="875"/>
      <c r="K52" s="874"/>
      <c r="V52" s="882">
        <v>7191366</v>
      </c>
      <c r="W52" s="881" t="s">
        <v>322</v>
      </c>
      <c r="X52" s="372">
        <v>1536662.7466114899</v>
      </c>
      <c r="Y52" s="371">
        <v>1229330.1972891919</v>
      </c>
      <c r="Z52" s="371"/>
      <c r="AA52" s="371">
        <v>1229330.1972891919</v>
      </c>
    </row>
    <row r="53" spans="2:27" ht="16.5" thickBot="1" x14ac:dyDescent="0.3">
      <c r="B53" s="237" t="s">
        <v>62</v>
      </c>
      <c r="C53" s="237"/>
      <c r="D53" s="237" t="s">
        <v>59</v>
      </c>
      <c r="E53" s="237" t="s">
        <v>45</v>
      </c>
      <c r="F53" s="239" t="s">
        <v>60</v>
      </c>
      <c r="G53" s="237" t="s">
        <v>61</v>
      </c>
      <c r="H53" s="239" t="s">
        <v>67</v>
      </c>
      <c r="J53" s="875"/>
      <c r="K53" s="874"/>
      <c r="V53" s="882">
        <v>7141394</v>
      </c>
      <c r="W53" s="881" t="s">
        <v>323</v>
      </c>
      <c r="X53" s="372">
        <v>4707024.8895701701</v>
      </c>
      <c r="Y53" s="371">
        <v>3765619.9116561362</v>
      </c>
      <c r="Z53" s="371"/>
      <c r="AA53" s="371">
        <v>3765619.9116561362</v>
      </c>
    </row>
    <row r="54" spans="2:27" ht="15.75" x14ac:dyDescent="0.25">
      <c r="B54" s="39" t="str">
        <f>B10</f>
        <v>Llano Sánchez 115</v>
      </c>
      <c r="C54" s="39"/>
      <c r="D54" s="49">
        <f>+D10</f>
        <v>3</v>
      </c>
      <c r="E54" s="50">
        <f>+E10</f>
        <v>9091935.0774996206</v>
      </c>
      <c r="F54" s="123">
        <f>+E54/D54</f>
        <v>3030645.0258332067</v>
      </c>
      <c r="G54" s="382" t="s">
        <v>155</v>
      </c>
      <c r="H54" s="48"/>
      <c r="J54" s="875"/>
      <c r="K54" s="874"/>
      <c r="V54" s="882"/>
      <c r="W54" s="881"/>
      <c r="X54" s="372"/>
      <c r="Y54" s="371"/>
      <c r="Z54" s="371"/>
      <c r="AA54" s="371"/>
    </row>
    <row r="55" spans="2:27" ht="15.75" x14ac:dyDescent="0.25">
      <c r="B55" s="40" t="str">
        <f>B12</f>
        <v>Progreso 115</v>
      </c>
      <c r="C55" s="40"/>
      <c r="D55" s="58">
        <f>+D12</f>
        <v>1</v>
      </c>
      <c r="E55" s="55">
        <f>+E12</f>
        <v>1182682.9485038896</v>
      </c>
      <c r="F55" s="55">
        <f t="shared" ref="F55" si="6">+E55/D55</f>
        <v>1182682.9485038896</v>
      </c>
      <c r="G55" s="153" t="s">
        <v>63</v>
      </c>
      <c r="H55" s="47"/>
      <c r="J55" s="875"/>
      <c r="K55" s="874"/>
      <c r="V55" s="880">
        <f>+V53/V52</f>
        <v>0.99305111156906767</v>
      </c>
      <c r="W55" s="881" t="s">
        <v>324</v>
      </c>
      <c r="X55" s="372">
        <v>145699.65818309458</v>
      </c>
      <c r="Y55" s="371">
        <v>116559.72654647566</v>
      </c>
      <c r="Z55" s="371"/>
      <c r="AA55" s="371">
        <v>116559.72654647566</v>
      </c>
    </row>
    <row r="56" spans="2:27" x14ac:dyDescent="0.2">
      <c r="B56" s="377" t="s">
        <v>328</v>
      </c>
      <c r="C56" s="149"/>
      <c r="D56" s="150"/>
      <c r="E56" s="859">
        <f>+E14</f>
        <v>0</v>
      </c>
      <c r="F56" s="639"/>
      <c r="G56" s="153"/>
      <c r="H56" s="151"/>
      <c r="J56" s="875"/>
      <c r="K56" s="874"/>
      <c r="V56" s="877"/>
      <c r="W56" s="855" t="s">
        <v>325</v>
      </c>
      <c r="X56" s="370">
        <v>2073362.8108945438</v>
      </c>
      <c r="Y56" s="371">
        <v>1658690.2487156352</v>
      </c>
      <c r="Z56" s="371"/>
      <c r="AA56" s="371">
        <v>1658690.2487156352</v>
      </c>
    </row>
    <row r="57" spans="2:27" x14ac:dyDescent="0.2">
      <c r="B57" s="376" t="s">
        <v>154</v>
      </c>
      <c r="C57" s="149"/>
      <c r="D57" s="150">
        <f>+D23</f>
        <v>1</v>
      </c>
      <c r="E57" s="859">
        <f>+E23</f>
        <v>147410.97308251241</v>
      </c>
      <c r="F57" s="124">
        <f>+E57/D57</f>
        <v>147410.97308251241</v>
      </c>
      <c r="G57" s="153" t="s">
        <v>63</v>
      </c>
      <c r="H57" s="151"/>
      <c r="J57" s="875"/>
      <c r="K57" s="874"/>
      <c r="V57" s="877"/>
      <c r="W57" s="855" t="s">
        <v>326</v>
      </c>
      <c r="X57" s="370">
        <v>1752853.1511169001</v>
      </c>
      <c r="Y57" s="371">
        <v>1402282.5208935202</v>
      </c>
      <c r="Z57" s="371">
        <v>1095162.1200000001</v>
      </c>
      <c r="AA57" s="371">
        <v>307120.4008935201</v>
      </c>
    </row>
    <row r="58" spans="2:27" ht="15.75" thickBot="1" x14ac:dyDescent="0.25">
      <c r="B58" s="41" t="str">
        <f>B15</f>
        <v>Charco Azul 115</v>
      </c>
      <c r="C58" s="41"/>
      <c r="D58" s="65">
        <f>+D15</f>
        <v>1</v>
      </c>
      <c r="E58" s="51">
        <f>+E15</f>
        <v>828218.81634660007</v>
      </c>
      <c r="F58" s="54">
        <f>+E58/D58</f>
        <v>828218.81634660007</v>
      </c>
      <c r="G58" s="154" t="s">
        <v>64</v>
      </c>
      <c r="H58" s="46"/>
      <c r="J58" s="875"/>
      <c r="K58" s="874"/>
      <c r="V58" s="877"/>
      <c r="W58" s="855"/>
      <c r="X58" s="370"/>
      <c r="Y58" s="371"/>
      <c r="Z58" s="371"/>
      <c r="AA58" s="371"/>
    </row>
    <row r="59" spans="2:27" ht="16.5" thickBot="1" x14ac:dyDescent="0.3">
      <c r="E59" s="43"/>
      <c r="F59" s="43"/>
      <c r="J59" s="875"/>
      <c r="K59" s="874"/>
      <c r="V59" s="883" t="s">
        <v>11</v>
      </c>
      <c r="W59" s="855" t="s">
        <v>12</v>
      </c>
      <c r="X59" s="370">
        <v>59839508.611118525</v>
      </c>
      <c r="Y59" s="371">
        <v>49089337.133500792</v>
      </c>
      <c r="Z59" s="371">
        <v>18573353.649130803</v>
      </c>
      <c r="AA59" s="371">
        <v>30515983.484369993</v>
      </c>
    </row>
    <row r="60" spans="2:27" ht="15.75" thickBot="1" x14ac:dyDescent="0.25">
      <c r="B60" s="237" t="s">
        <v>65</v>
      </c>
      <c r="C60" s="237"/>
      <c r="D60" s="240" t="s">
        <v>59</v>
      </c>
      <c r="E60" s="241" t="s">
        <v>45</v>
      </c>
      <c r="F60" s="237" t="s">
        <v>60</v>
      </c>
      <c r="G60" s="238" t="s">
        <v>61</v>
      </c>
      <c r="H60" s="239" t="s">
        <v>67</v>
      </c>
      <c r="J60" s="875"/>
      <c r="K60" s="874"/>
      <c r="V60" s="884" t="s">
        <v>11</v>
      </c>
      <c r="W60" s="877"/>
      <c r="X60" s="128"/>
      <c r="Y60" s="128"/>
    </row>
    <row r="61" spans="2:27" x14ac:dyDescent="0.2">
      <c r="B61" s="39" t="str">
        <f>B11</f>
        <v>Llano Sánchez  34.5</v>
      </c>
      <c r="C61" s="39"/>
      <c r="D61" s="52">
        <f>+D11</f>
        <v>1</v>
      </c>
      <c r="E61" s="860">
        <f>+E11</f>
        <v>5855092.4206197709</v>
      </c>
      <c r="F61" s="122">
        <f>+E61/D61</f>
        <v>5855092.4206197709</v>
      </c>
      <c r="G61" s="152" t="s">
        <v>103</v>
      </c>
      <c r="H61" s="39" t="s">
        <v>69</v>
      </c>
      <c r="J61" s="875"/>
      <c r="K61" s="874"/>
    </row>
    <row r="62" spans="2:27" x14ac:dyDescent="0.2">
      <c r="B62" s="35" t="s">
        <v>102</v>
      </c>
      <c r="C62" s="67"/>
      <c r="D62" s="68">
        <f>+D24</f>
        <v>2</v>
      </c>
      <c r="E62" s="861">
        <f>+E24</f>
        <v>1723388.6714942877</v>
      </c>
      <c r="F62" s="55">
        <f>+E62/D62</f>
        <v>861694.33574714384</v>
      </c>
      <c r="G62" s="155" t="s">
        <v>103</v>
      </c>
      <c r="H62" s="67"/>
      <c r="J62" s="875"/>
      <c r="K62" s="874"/>
    </row>
    <row r="63" spans="2:27" x14ac:dyDescent="0.2">
      <c r="B63" s="40" t="str">
        <f>B13</f>
        <v>Progreso 34.5</v>
      </c>
      <c r="C63" s="40"/>
      <c r="D63" s="53">
        <f>+D13</f>
        <v>3</v>
      </c>
      <c r="E63" s="862">
        <f>+E13</f>
        <v>4196585.4631489115</v>
      </c>
      <c r="F63" s="55">
        <f>+E63/D63</f>
        <v>1398861.8210496372</v>
      </c>
      <c r="G63" s="156" t="s">
        <v>66</v>
      </c>
      <c r="H63" s="40"/>
      <c r="J63" s="875"/>
      <c r="K63" s="874"/>
    </row>
    <row r="64" spans="2:27" x14ac:dyDescent="0.2">
      <c r="B64" s="40" t="str">
        <f>B17</f>
        <v>Mata de Nance 34.5</v>
      </c>
      <c r="C64" s="40"/>
      <c r="D64" s="53">
        <f>+D17</f>
        <v>4</v>
      </c>
      <c r="E64" s="862">
        <f>+E17</f>
        <v>7917797.3363252003</v>
      </c>
      <c r="F64" s="55">
        <f>+E64/D64</f>
        <v>1979449.3340813001</v>
      </c>
      <c r="G64" s="156" t="s">
        <v>155</v>
      </c>
      <c r="H64" s="40"/>
      <c r="J64" s="875"/>
      <c r="K64" s="874"/>
    </row>
    <row r="65" spans="2:23" ht="15.75" thickBot="1" x14ac:dyDescent="0.25">
      <c r="B65" s="41" t="str">
        <f>B18</f>
        <v>Chorrera 34.5</v>
      </c>
      <c r="C65" s="41"/>
      <c r="D65" s="56">
        <f>+D18</f>
        <v>6</v>
      </c>
      <c r="E65" s="863">
        <f>+E18</f>
        <v>26546603.501304794</v>
      </c>
      <c r="F65" s="51">
        <f>+E65/D65</f>
        <v>4424433.9168841327</v>
      </c>
      <c r="G65" s="383" t="s">
        <v>330</v>
      </c>
      <c r="H65" s="41"/>
      <c r="J65" s="875"/>
      <c r="K65" s="87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2:23" ht="16.5" thickBot="1" x14ac:dyDescent="0.3">
      <c r="D66" s="114"/>
      <c r="E66" s="242">
        <f>SUM(E38:E65)</f>
        <v>103524773.25319158</v>
      </c>
      <c r="F66" s="72" t="s">
        <v>153</v>
      </c>
      <c r="J66" s="875"/>
      <c r="K66" s="87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2:23" x14ac:dyDescent="0.2">
      <c r="E67" s="66"/>
      <c r="F67" s="66"/>
      <c r="J67" s="875"/>
      <c r="K67" s="87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2:23" ht="15.75" thickBot="1" x14ac:dyDescent="0.25">
      <c r="C68" s="33" t="s">
        <v>107</v>
      </c>
      <c r="E68" s="378"/>
      <c r="J68" s="875"/>
      <c r="K68" s="87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2:23" ht="15.75" thickBot="1" x14ac:dyDescent="0.25">
      <c r="B69" s="237" t="s">
        <v>869</v>
      </c>
      <c r="C69" s="237"/>
      <c r="D69" s="240" t="s">
        <v>59</v>
      </c>
      <c r="E69" s="243" t="s">
        <v>45</v>
      </c>
      <c r="F69" s="237" t="s">
        <v>60</v>
      </c>
      <c r="G69" s="237" t="s">
        <v>61</v>
      </c>
      <c r="H69" s="237" t="s">
        <v>67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2:23" x14ac:dyDescent="0.2">
      <c r="B70" s="1288" t="s">
        <v>830</v>
      </c>
      <c r="C70" s="39"/>
      <c r="D70" s="52">
        <v>1</v>
      </c>
      <c r="E70" s="50">
        <v>8400</v>
      </c>
      <c r="F70" s="50">
        <f t="shared" ref="F70:F74" si="7">+E70/D70</f>
        <v>8400</v>
      </c>
      <c r="G70" s="1287"/>
      <c r="H70" s="1557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2:23" x14ac:dyDescent="0.2">
      <c r="B71" s="1281" t="s">
        <v>831</v>
      </c>
      <c r="C71" s="40"/>
      <c r="D71" s="53">
        <v>1</v>
      </c>
      <c r="E71" s="178">
        <v>2000</v>
      </c>
      <c r="F71" s="55">
        <f t="shared" si="7"/>
        <v>2000</v>
      </c>
      <c r="G71" s="157"/>
      <c r="H71" s="1558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2:23" ht="38.25" x14ac:dyDescent="0.2">
      <c r="B72" s="1281" t="s">
        <v>832</v>
      </c>
      <c r="C72" s="40"/>
      <c r="D72" s="53">
        <v>1</v>
      </c>
      <c r="E72" s="178">
        <v>54749</v>
      </c>
      <c r="F72" s="55">
        <f t="shared" si="7"/>
        <v>54749</v>
      </c>
      <c r="G72" s="1556" t="s">
        <v>880</v>
      </c>
      <c r="H72" s="1559" t="s">
        <v>879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2:23" x14ac:dyDescent="0.2">
      <c r="B73" s="1281" t="s">
        <v>833</v>
      </c>
      <c r="C73" s="40"/>
      <c r="D73" s="53">
        <v>1</v>
      </c>
      <c r="E73" s="178">
        <v>2160</v>
      </c>
      <c r="F73" s="55">
        <f t="shared" si="7"/>
        <v>2160</v>
      </c>
      <c r="G73" s="157"/>
      <c r="H73" s="1558"/>
      <c r="L73" s="871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2:23" ht="15.75" thickBot="1" x14ac:dyDescent="0.25">
      <c r="B74" s="1281" t="s">
        <v>718</v>
      </c>
      <c r="C74" s="41"/>
      <c r="D74" s="56">
        <v>1</v>
      </c>
      <c r="E74" s="1269">
        <v>11571</v>
      </c>
      <c r="F74" s="51">
        <f t="shared" si="7"/>
        <v>11571</v>
      </c>
      <c r="G74" s="158"/>
      <c r="H74" s="1560"/>
      <c r="L74" s="871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2:23" ht="15.75" thickBot="1" x14ac:dyDescent="0.25">
      <c r="D75" s="69"/>
      <c r="E75" s="1286">
        <f>SUM(E70:E74)</f>
        <v>78880</v>
      </c>
      <c r="F75" s="72" t="s">
        <v>153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2:23" x14ac:dyDescent="0.2">
      <c r="G76" s="159"/>
      <c r="H76" s="32"/>
      <c r="J76" s="871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2:23" x14ac:dyDescent="0.2">
      <c r="B77"/>
      <c r="C77"/>
      <c r="D77"/>
      <c r="E77"/>
      <c r="F77" s="256"/>
      <c r="G77" s="159"/>
      <c r="H77" s="32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2:23" x14ac:dyDescent="0.2">
      <c r="B78"/>
      <c r="C78"/>
      <c r="D78" s="257"/>
      <c r="E78" s="42">
        <f>+E75+E66</f>
        <v>103603653.25319158</v>
      </c>
      <c r="G78" s="160"/>
      <c r="H78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2:23" ht="12.75" x14ac:dyDescent="0.2">
      <c r="B79"/>
      <c r="C79"/>
      <c r="D79" s="257"/>
      <c r="E79" s="42"/>
      <c r="F79"/>
      <c r="G79" s="159"/>
      <c r="H79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2:23" ht="12.75" x14ac:dyDescent="0.2">
      <c r="B80"/>
      <c r="C80"/>
      <c r="D80" s="258"/>
      <c r="E80" s="42"/>
      <c r="F80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2:23" ht="12.75" x14ac:dyDescent="0.2">
      <c r="E81" s="38"/>
      <c r="G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2:23" ht="12.75" x14ac:dyDescent="0.2">
      <c r="B82"/>
      <c r="C82"/>
      <c r="D82" s="258"/>
      <c r="E82" s="259"/>
      <c r="G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2:23" ht="12.75" x14ac:dyDescent="0.2">
      <c r="G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2:23" ht="14.25" x14ac:dyDescent="0.2">
      <c r="B84"/>
      <c r="C84"/>
      <c r="D84" s="258"/>
      <c r="E84" s="1282"/>
      <c r="F84" s="1283"/>
      <c r="G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2:23" ht="14.25" x14ac:dyDescent="0.2">
      <c r="F85" s="1283"/>
      <c r="G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2:23" x14ac:dyDescent="0.25">
      <c r="B86"/>
      <c r="C86"/>
      <c r="D86" s="258"/>
      <c r="E86" s="1284"/>
      <c r="F86" s="1284"/>
      <c r="G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2:23" ht="14.25" x14ac:dyDescent="0.2">
      <c r="E87" s="1282"/>
      <c r="F87" s="1283"/>
      <c r="G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4.25" x14ac:dyDescent="0.2">
      <c r="B88"/>
      <c r="C88"/>
      <c r="D88" s="258"/>
      <c r="E88" s="1282"/>
      <c r="G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2:23" ht="14.25" x14ac:dyDescent="0.2">
      <c r="E89" s="1285"/>
      <c r="F89" s="1285"/>
      <c r="G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</sheetData>
  <mergeCells count="11">
    <mergeCell ref="G15:H16"/>
    <mergeCell ref="B35:D35"/>
    <mergeCell ref="E5:F5"/>
    <mergeCell ref="B4:F4"/>
    <mergeCell ref="C27:D27"/>
    <mergeCell ref="C33:D33"/>
    <mergeCell ref="B1:F1"/>
    <mergeCell ref="B2:F2"/>
    <mergeCell ref="C5:D5"/>
    <mergeCell ref="B5:B6"/>
    <mergeCell ref="B3:F3"/>
  </mergeCells>
  <phoneticPr fontId="0" type="noConversion"/>
  <printOptions horizontalCentered="1" verticalCentered="1"/>
  <pageMargins left="0.59055118110236227" right="0.47244094488188981" top="0.9055118110236221" bottom="1.1417322834645669" header="0.55118110236220474" footer="0.43307086614173229"/>
  <pageSetup scale="49" orientation="landscape" r:id="rId1"/>
  <headerFooter alignWithMargins="0">
    <oddHeader>&amp;F</oddHeader>
    <oddFooter>&amp;LHOJA: &amp;A&amp;R&amp;D</oddFooter>
  </headerFooter>
  <ignoredErrors>
    <ignoredError sqref="D62:F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AY164"/>
  <sheetViews>
    <sheetView showGridLines="0" zoomScale="52" zoomScaleNormal="52" workbookViewId="0">
      <pane xSplit="2" ySplit="7" topLeftCell="C101" activePane="bottomRight" state="frozen"/>
      <selection activeCell="Y34" sqref="Y34"/>
      <selection pane="topRight" activeCell="Y34" sqref="Y34"/>
      <selection pane="bottomLeft" activeCell="Y34" sqref="Y34"/>
      <selection pane="bottomRight" activeCell="G131" sqref="G131"/>
    </sheetView>
  </sheetViews>
  <sheetFormatPr baseColWidth="10" defaultColWidth="11.42578125" defaultRowHeight="14.25" outlineLevelRow="2" outlineLevelCol="1" x14ac:dyDescent="0.2"/>
  <cols>
    <col min="1" max="1" width="5" style="1310" bestFit="1" customWidth="1"/>
    <col min="2" max="2" width="83.28515625" style="1291" customWidth="1"/>
    <col min="3" max="4" width="12" style="1291" customWidth="1" outlineLevel="1"/>
    <col min="5" max="6" width="12" style="1291" customWidth="1"/>
    <col min="7" max="7" width="12.28515625" style="1291" bestFit="1" customWidth="1"/>
    <col min="8" max="8" width="12" style="1291" customWidth="1"/>
    <col min="9" max="14" width="10.7109375" style="1291" customWidth="1"/>
    <col min="15" max="15" width="13" style="1291" bestFit="1" customWidth="1"/>
    <col min="16" max="16" width="4.7109375" style="1291" hidden="1" customWidth="1"/>
    <col min="17" max="17" width="25.140625" style="1291" hidden="1" customWidth="1"/>
    <col min="18" max="18" width="18.7109375" style="1291" hidden="1" customWidth="1"/>
    <col min="19" max="19" width="20.28515625" style="1291" customWidth="1"/>
    <col min="20" max="16384" width="11.42578125" style="1291"/>
  </cols>
  <sheetData>
    <row r="1" spans="1:40" ht="18" x14ac:dyDescent="0.25">
      <c r="A1" s="1663" t="s">
        <v>686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  <c r="P1" s="1289"/>
      <c r="Q1" s="1290"/>
      <c r="R1" s="1290"/>
    </row>
    <row r="2" spans="1:40" ht="18" x14ac:dyDescent="0.25">
      <c r="A2" s="1663" t="s">
        <v>687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289"/>
      <c r="Q2" s="1290"/>
      <c r="R2" s="1290"/>
    </row>
    <row r="3" spans="1:40" ht="18" x14ac:dyDescent="0.25">
      <c r="A3" s="1663" t="s">
        <v>688</v>
      </c>
      <c r="B3" s="1663"/>
      <c r="C3" s="1663"/>
      <c r="D3" s="1663"/>
      <c r="E3" s="1663"/>
      <c r="F3" s="1663"/>
      <c r="G3" s="1663"/>
      <c r="H3" s="1663"/>
      <c r="I3" s="1663"/>
      <c r="J3" s="1663"/>
      <c r="K3" s="1663"/>
      <c r="L3" s="1663"/>
      <c r="M3" s="1663"/>
      <c r="N3" s="1663"/>
      <c r="O3" s="1663"/>
      <c r="P3" s="1289"/>
      <c r="Q3" s="1290"/>
      <c r="R3" s="1290"/>
    </row>
    <row r="4" spans="1:40" ht="18" x14ac:dyDescent="0.25">
      <c r="A4" s="1663" t="s">
        <v>689</v>
      </c>
      <c r="B4" s="1663"/>
      <c r="C4" s="1663"/>
      <c r="D4" s="1663"/>
      <c r="E4" s="1663"/>
      <c r="F4" s="1663"/>
      <c r="G4" s="1663"/>
      <c r="H4" s="1663"/>
      <c r="I4" s="1663"/>
      <c r="J4" s="1663"/>
      <c r="K4" s="1663"/>
      <c r="L4" s="1663"/>
      <c r="M4" s="1663"/>
      <c r="N4" s="1663"/>
      <c r="O4" s="1663"/>
      <c r="P4" s="1289"/>
      <c r="Q4" s="1290"/>
      <c r="R4" s="1290"/>
      <c r="S4" s="1661"/>
    </row>
    <row r="5" spans="1:40" ht="15" customHeight="1" x14ac:dyDescent="0.25">
      <c r="A5" s="1292"/>
      <c r="B5" s="1290"/>
      <c r="C5" s="1293"/>
      <c r="D5" s="1293"/>
      <c r="E5" s="1294"/>
      <c r="F5" s="1294"/>
      <c r="G5" s="1294"/>
      <c r="H5" s="1294"/>
      <c r="I5" s="1294"/>
      <c r="J5" s="1293"/>
      <c r="K5" s="1293"/>
      <c r="L5" s="1293"/>
      <c r="M5" s="1293"/>
      <c r="N5" s="1293"/>
      <c r="O5" s="1293"/>
      <c r="P5" s="1294"/>
      <c r="Q5" s="1290"/>
      <c r="R5" s="1290"/>
      <c r="S5" s="1661"/>
      <c r="U5" s="1295" t="s">
        <v>690</v>
      </c>
      <c r="V5" s="1295"/>
      <c r="W5" s="1295"/>
      <c r="X5" s="1295"/>
      <c r="Y5" s="1295"/>
      <c r="Z5" s="1295"/>
      <c r="AA5" s="1295"/>
      <c r="AB5" s="1295"/>
      <c r="AC5" s="1295"/>
      <c r="AD5" s="1295"/>
      <c r="AE5" s="1296" t="s">
        <v>691</v>
      </c>
      <c r="AF5" s="1296"/>
      <c r="AG5" s="1296"/>
      <c r="AH5" s="1296"/>
      <c r="AI5" s="1296"/>
      <c r="AJ5" s="1296"/>
      <c r="AK5" s="1296"/>
      <c r="AL5" s="1296"/>
      <c r="AM5" s="1296"/>
      <c r="AN5" s="1296"/>
    </row>
    <row r="6" spans="1:40" s="1300" customFormat="1" ht="15" customHeight="1" x14ac:dyDescent="0.25">
      <c r="A6" s="1297" t="s">
        <v>11</v>
      </c>
      <c r="B6" s="1298"/>
      <c r="C6" s="1299" t="s">
        <v>692</v>
      </c>
      <c r="D6" s="1299"/>
      <c r="E6" s="1299">
        <f>+D7+1</f>
        <v>2021</v>
      </c>
      <c r="F6" s="1299">
        <f t="shared" ref="F6:N7" si="0">+E6+1</f>
        <v>2022</v>
      </c>
      <c r="G6" s="1299">
        <f t="shared" si="0"/>
        <v>2023</v>
      </c>
      <c r="H6" s="1299">
        <f t="shared" si="0"/>
        <v>2024</v>
      </c>
      <c r="I6" s="1299">
        <f t="shared" si="0"/>
        <v>2025</v>
      </c>
      <c r="J6" s="1299">
        <f t="shared" si="0"/>
        <v>2026</v>
      </c>
      <c r="K6" s="1299">
        <f t="shared" si="0"/>
        <v>2027</v>
      </c>
      <c r="L6" s="1299">
        <f t="shared" si="0"/>
        <v>2028</v>
      </c>
      <c r="M6" s="1299">
        <f t="shared" si="0"/>
        <v>2029</v>
      </c>
      <c r="N6" s="1299">
        <f t="shared" si="0"/>
        <v>2030</v>
      </c>
      <c r="Q6" s="1662" t="s">
        <v>693</v>
      </c>
      <c r="R6" s="1662" t="s">
        <v>694</v>
      </c>
      <c r="U6" s="1299">
        <v>2017</v>
      </c>
      <c r="V6" s="1299">
        <f>U6+1</f>
        <v>2018</v>
      </c>
      <c r="W6" s="1299">
        <f t="shared" ref="W6:AD6" si="1">V6+1</f>
        <v>2019</v>
      </c>
      <c r="X6" s="1299">
        <f t="shared" si="1"/>
        <v>2020</v>
      </c>
      <c r="Y6" s="1299">
        <f t="shared" si="1"/>
        <v>2021</v>
      </c>
      <c r="Z6" s="1299">
        <f t="shared" si="1"/>
        <v>2022</v>
      </c>
      <c r="AA6" s="1299">
        <f t="shared" si="1"/>
        <v>2023</v>
      </c>
      <c r="AB6" s="1299">
        <f t="shared" si="1"/>
        <v>2024</v>
      </c>
      <c r="AC6" s="1299">
        <f t="shared" si="1"/>
        <v>2025</v>
      </c>
      <c r="AD6" s="1299">
        <f t="shared" si="1"/>
        <v>2026</v>
      </c>
      <c r="AE6" s="1299">
        <f>U6</f>
        <v>2017</v>
      </c>
      <c r="AF6" s="1299">
        <f t="shared" ref="AF6:AN6" si="2">V6</f>
        <v>2018</v>
      </c>
      <c r="AG6" s="1299">
        <f t="shared" si="2"/>
        <v>2019</v>
      </c>
      <c r="AH6" s="1299">
        <f t="shared" si="2"/>
        <v>2020</v>
      </c>
      <c r="AI6" s="1299">
        <f t="shared" si="2"/>
        <v>2021</v>
      </c>
      <c r="AJ6" s="1299">
        <f t="shared" si="2"/>
        <v>2022</v>
      </c>
      <c r="AK6" s="1299">
        <f t="shared" si="2"/>
        <v>2023</v>
      </c>
      <c r="AL6" s="1299">
        <f t="shared" si="2"/>
        <v>2024</v>
      </c>
      <c r="AM6" s="1299">
        <f t="shared" si="2"/>
        <v>2025</v>
      </c>
      <c r="AN6" s="1299">
        <f t="shared" si="2"/>
        <v>2026</v>
      </c>
    </row>
    <row r="7" spans="1:40" ht="15" x14ac:dyDescent="0.25">
      <c r="A7" s="1301" t="s">
        <v>11</v>
      </c>
      <c r="B7" s="1302"/>
      <c r="C7" s="1303">
        <v>2019</v>
      </c>
      <c r="D7" s="1303">
        <f t="shared" ref="D7:E7" si="3">+C7+1</f>
        <v>2020</v>
      </c>
      <c r="E7" s="1303">
        <f t="shared" si="3"/>
        <v>2021</v>
      </c>
      <c r="F7" s="1303">
        <f t="shared" si="0"/>
        <v>2022</v>
      </c>
      <c r="G7" s="1303">
        <f t="shared" si="0"/>
        <v>2023</v>
      </c>
      <c r="H7" s="1303">
        <f t="shared" si="0"/>
        <v>2024</v>
      </c>
      <c r="I7" s="1303">
        <f t="shared" si="0"/>
        <v>2025</v>
      </c>
      <c r="J7" s="1303">
        <f t="shared" si="0"/>
        <v>2026</v>
      </c>
      <c r="K7" s="1303">
        <f t="shared" si="0"/>
        <v>2027</v>
      </c>
      <c r="L7" s="1303">
        <f t="shared" si="0"/>
        <v>2028</v>
      </c>
      <c r="M7" s="1303">
        <f t="shared" si="0"/>
        <v>2029</v>
      </c>
      <c r="N7" s="1303">
        <f t="shared" si="0"/>
        <v>2030</v>
      </c>
      <c r="O7" s="1303" t="s">
        <v>12</v>
      </c>
      <c r="P7" s="1304"/>
      <c r="Q7" s="1662"/>
      <c r="R7" s="1662" t="s">
        <v>694</v>
      </c>
    </row>
    <row r="8" spans="1:40" s="1300" customFormat="1" ht="15" x14ac:dyDescent="0.25">
      <c r="A8" s="1305">
        <v>1</v>
      </c>
      <c r="B8" s="1306"/>
      <c r="C8" s="1307">
        <f t="shared" ref="C8:N8" si="4">+C10+C41+C56+C73+C128+C143+C151</f>
        <v>0</v>
      </c>
      <c r="D8" s="1307">
        <f t="shared" si="4"/>
        <v>0</v>
      </c>
      <c r="E8" s="1307">
        <f t="shared" si="4"/>
        <v>58790.739750000001</v>
      </c>
      <c r="F8" s="1307">
        <f t="shared" si="4"/>
        <v>124742</v>
      </c>
      <c r="G8" s="1307">
        <f t="shared" si="4"/>
        <v>172573</v>
      </c>
      <c r="H8" s="1307">
        <f t="shared" si="4"/>
        <v>126823</v>
      </c>
      <c r="I8" s="1307">
        <f t="shared" si="4"/>
        <v>109928</v>
      </c>
      <c r="J8" s="1307">
        <f t="shared" si="4"/>
        <v>40738</v>
      </c>
      <c r="K8" s="1307">
        <f t="shared" si="4"/>
        <v>26334</v>
      </c>
      <c r="L8" s="1307">
        <f t="shared" si="4"/>
        <v>0</v>
      </c>
      <c r="M8" s="1307">
        <f t="shared" si="4"/>
        <v>0</v>
      </c>
      <c r="N8" s="1307">
        <f t="shared" si="4"/>
        <v>0</v>
      </c>
      <c r="O8" s="1308">
        <f>SUM(C8:M8)</f>
        <v>659928.73974999995</v>
      </c>
      <c r="P8" s="1308"/>
      <c r="Q8" s="1297" t="s">
        <v>11</v>
      </c>
      <c r="R8" s="1297"/>
      <c r="S8" s="1297"/>
      <c r="T8" s="1309"/>
    </row>
    <row r="9" spans="1:40" ht="15" x14ac:dyDescent="0.25">
      <c r="A9" s="1310">
        <f t="shared" ref="A9:A10" si="5">+A8+1</f>
        <v>2</v>
      </c>
      <c r="B9" s="1311"/>
      <c r="C9" s="1312"/>
      <c r="D9" s="1312"/>
      <c r="E9" s="1312"/>
      <c r="F9" s="1312"/>
      <c r="G9" s="1312"/>
      <c r="H9" s="1312"/>
      <c r="I9" s="1312"/>
      <c r="J9" s="1312"/>
      <c r="K9" s="1312"/>
      <c r="L9" s="1312"/>
      <c r="M9" s="1312"/>
      <c r="N9" s="1312"/>
      <c r="O9" s="1313"/>
      <c r="P9" s="1314"/>
      <c r="Q9" s="1301"/>
      <c r="R9" s="1301"/>
      <c r="S9" s="1301"/>
      <c r="T9" s="1315"/>
    </row>
    <row r="10" spans="1:40" s="1300" customFormat="1" ht="15" collapsed="1" x14ac:dyDescent="0.25">
      <c r="A10" s="1305">
        <f t="shared" si="5"/>
        <v>3</v>
      </c>
      <c r="B10" s="1297" t="s">
        <v>489</v>
      </c>
      <c r="C10" s="1308">
        <f t="shared" ref="C10:N10" si="6">SUBTOTAL(9,C12:C40)</f>
        <v>0</v>
      </c>
      <c r="D10" s="1308">
        <f t="shared" si="6"/>
        <v>0</v>
      </c>
      <c r="E10" s="1308">
        <f>SUBTOTAL(9,E12:E40)</f>
        <v>33182</v>
      </c>
      <c r="F10" s="1308">
        <f t="shared" si="6"/>
        <v>66103</v>
      </c>
      <c r="G10" s="1308">
        <f t="shared" si="6"/>
        <v>163423</v>
      </c>
      <c r="H10" s="1308">
        <f t="shared" si="6"/>
        <v>99320</v>
      </c>
      <c r="I10" s="1308">
        <f t="shared" si="6"/>
        <v>33467</v>
      </c>
      <c r="J10" s="1308">
        <f t="shared" si="6"/>
        <v>0</v>
      </c>
      <c r="K10" s="1308">
        <f t="shared" si="6"/>
        <v>0</v>
      </c>
      <c r="L10" s="1308">
        <f t="shared" si="6"/>
        <v>0</v>
      </c>
      <c r="M10" s="1308">
        <f t="shared" si="6"/>
        <v>0</v>
      </c>
      <c r="N10" s="1308">
        <f t="shared" si="6"/>
        <v>0</v>
      </c>
      <c r="O10" s="1308">
        <f>SUM(D10:N10)</f>
        <v>395495</v>
      </c>
      <c r="P10" s="1308"/>
      <c r="Q10" s="1297"/>
      <c r="R10" s="1297"/>
      <c r="S10" s="1297"/>
      <c r="T10" s="1309"/>
    </row>
    <row r="11" spans="1:40" s="1300" customFormat="1" ht="15" x14ac:dyDescent="0.25">
      <c r="A11" s="1305"/>
      <c r="B11" s="1297" t="s">
        <v>834</v>
      </c>
      <c r="C11" s="1308"/>
      <c r="D11" s="1308"/>
      <c r="E11" s="1308"/>
      <c r="F11" s="1308"/>
      <c r="G11" s="1308"/>
      <c r="H11" s="1308"/>
      <c r="I11" s="1308"/>
      <c r="J11" s="1308"/>
      <c r="K11" s="1308"/>
      <c r="L11" s="1308"/>
      <c r="M11" s="1308"/>
      <c r="N11" s="1308"/>
      <c r="O11" s="1308"/>
      <c r="P11" s="1308"/>
      <c r="Q11" s="1297"/>
      <c r="R11" s="1297"/>
      <c r="S11" s="1297"/>
      <c r="T11" s="1309"/>
    </row>
    <row r="12" spans="1:40" ht="15" x14ac:dyDescent="0.25">
      <c r="A12" s="1310">
        <v>4</v>
      </c>
      <c r="B12" s="1316" t="s">
        <v>835</v>
      </c>
      <c r="C12" s="1317"/>
      <c r="D12" s="1317"/>
      <c r="E12" s="1316">
        <v>5055</v>
      </c>
      <c r="F12" s="1318"/>
      <c r="G12" s="1319"/>
      <c r="H12" s="1318"/>
      <c r="I12" s="1320"/>
      <c r="J12" s="1320"/>
      <c r="K12" s="1320"/>
      <c r="L12" s="1320"/>
      <c r="M12" s="1320"/>
      <c r="N12" s="1320"/>
      <c r="O12" s="1320">
        <f>SUM(C12:N12)</f>
        <v>5055</v>
      </c>
      <c r="P12" s="1320"/>
      <c r="Q12" s="1321" t="s">
        <v>11</v>
      </c>
      <c r="R12" s="1301"/>
      <c r="S12" s="1321">
        <v>44297</v>
      </c>
      <c r="T12" s="1315"/>
      <c r="U12" s="1322"/>
      <c r="V12" s="1322"/>
      <c r="W12" s="1323"/>
      <c r="X12" s="1323"/>
      <c r="Y12" s="1321">
        <v>44297</v>
      </c>
      <c r="Z12" s="1323"/>
      <c r="AA12" s="1323"/>
      <c r="AB12" s="1321"/>
      <c r="AC12" s="1323"/>
      <c r="AD12" s="1323"/>
      <c r="AE12" s="1324">
        <f>IF(ISBLANK(U12),,(DATE(AE$6,12,31)-U12)/365)</f>
        <v>0</v>
      </c>
      <c r="AF12" s="1324">
        <f t="shared" ref="AF12:AN17" si="7">IF(ISBLANK(V12),,(DATE(AF$6,12,31)-V12)/365)</f>
        <v>0</v>
      </c>
      <c r="AG12" s="1324">
        <f t="shared" si="7"/>
        <v>0</v>
      </c>
      <c r="AH12" s="1324">
        <f t="shared" si="7"/>
        <v>0</v>
      </c>
      <c r="AI12" s="1324">
        <f>IF(ISBLANK(Y12),,(DATE(AI$6,12,31)-Y12)/365)</f>
        <v>0.72328767123287674</v>
      </c>
      <c r="AJ12" s="1324">
        <f t="shared" si="7"/>
        <v>0</v>
      </c>
      <c r="AK12" s="1324">
        <f t="shared" si="7"/>
        <v>0</v>
      </c>
      <c r="AL12" s="1324">
        <f t="shared" si="7"/>
        <v>0</v>
      </c>
      <c r="AM12" s="1324">
        <f t="shared" si="7"/>
        <v>0</v>
      </c>
      <c r="AN12" s="1324">
        <f t="shared" si="7"/>
        <v>0</v>
      </c>
    </row>
    <row r="13" spans="1:40" ht="15" outlineLevel="1" x14ac:dyDescent="0.25">
      <c r="A13" s="1310">
        <v>5</v>
      </c>
      <c r="B13" s="1316" t="s">
        <v>836</v>
      </c>
      <c r="C13" s="1317"/>
      <c r="D13" s="1317"/>
      <c r="E13" s="1316">
        <v>2900</v>
      </c>
      <c r="F13" s="1319"/>
      <c r="G13" s="1319"/>
      <c r="H13" s="1319"/>
      <c r="I13" s="1319"/>
      <c r="J13" s="1319"/>
      <c r="K13" s="1319"/>
      <c r="L13" s="1319"/>
      <c r="M13" s="1319"/>
      <c r="N13" s="1319"/>
      <c r="O13" s="1320">
        <f t="shared" ref="O13:O29" si="8">SUM(C13:N13)</f>
        <v>2900</v>
      </c>
      <c r="P13" s="1315"/>
      <c r="Q13" s="1325">
        <v>42216</v>
      </c>
      <c r="R13" s="1310" t="s">
        <v>695</v>
      </c>
      <c r="S13" s="1325">
        <v>44469</v>
      </c>
      <c r="T13" s="1315"/>
      <c r="U13" s="1322"/>
      <c r="V13" s="1322"/>
      <c r="W13" s="1326"/>
      <c r="X13" s="1326"/>
      <c r="Y13" s="1325">
        <v>44469</v>
      </c>
      <c r="Z13" s="1326"/>
      <c r="AA13" s="1326"/>
      <c r="AB13" s="1326"/>
      <c r="AC13" s="1326"/>
      <c r="AD13" s="1326"/>
      <c r="AE13" s="1324">
        <f t="shared" ref="AE13:AE17" si="9">IF(ISBLANK(U13),,(DATE(AE$6,12,31)-U13)/365)</f>
        <v>0</v>
      </c>
      <c r="AF13" s="1324">
        <f t="shared" si="7"/>
        <v>0</v>
      </c>
      <c r="AG13" s="1324">
        <f t="shared" si="7"/>
        <v>0</v>
      </c>
      <c r="AH13" s="1324">
        <f t="shared" si="7"/>
        <v>0</v>
      </c>
      <c r="AI13" s="1324">
        <f t="shared" si="7"/>
        <v>0.25205479452054796</v>
      </c>
      <c r="AJ13" s="1324">
        <f t="shared" si="7"/>
        <v>0</v>
      </c>
      <c r="AK13" s="1324">
        <f t="shared" si="7"/>
        <v>0</v>
      </c>
      <c r="AL13" s="1324">
        <f t="shared" si="7"/>
        <v>0</v>
      </c>
      <c r="AM13" s="1324">
        <f t="shared" si="7"/>
        <v>0</v>
      </c>
      <c r="AN13" s="1324">
        <f t="shared" si="7"/>
        <v>0</v>
      </c>
    </row>
    <row r="14" spans="1:40" ht="15" outlineLevel="1" x14ac:dyDescent="0.25">
      <c r="A14" s="1310">
        <f t="shared" ref="A14:A26" si="10">+A13+1</f>
        <v>6</v>
      </c>
      <c r="B14" s="1327" t="s">
        <v>837</v>
      </c>
      <c r="C14" s="1318"/>
      <c r="D14" s="1318"/>
      <c r="E14" s="1318"/>
      <c r="F14" s="1327">
        <v>26765</v>
      </c>
      <c r="G14" s="1319"/>
      <c r="H14" s="1319"/>
      <c r="I14" s="1319"/>
      <c r="J14" s="1319"/>
      <c r="K14" s="1319"/>
      <c r="L14" s="1319"/>
      <c r="M14" s="1319"/>
      <c r="N14" s="1319"/>
      <c r="O14" s="1320">
        <f t="shared" si="8"/>
        <v>26765</v>
      </c>
      <c r="P14" s="1315"/>
      <c r="Q14" s="1325">
        <v>42216</v>
      </c>
      <c r="R14" s="1310" t="s">
        <v>695</v>
      </c>
      <c r="S14" s="1325">
        <v>44681</v>
      </c>
      <c r="T14" s="1315"/>
      <c r="U14" s="1322"/>
      <c r="V14" s="1322"/>
      <c r="W14" s="1326"/>
      <c r="X14" s="1326"/>
      <c r="Y14" s="1328"/>
      <c r="Z14" s="1325">
        <v>44681</v>
      </c>
      <c r="AA14" s="1326"/>
      <c r="AB14" s="1326"/>
      <c r="AC14" s="1326"/>
      <c r="AD14" s="1326"/>
      <c r="AE14" s="1324">
        <f t="shared" si="9"/>
        <v>0</v>
      </c>
      <c r="AF14" s="1324">
        <f t="shared" si="7"/>
        <v>0</v>
      </c>
      <c r="AG14" s="1324">
        <f t="shared" si="7"/>
        <v>0</v>
      </c>
      <c r="AH14" s="1324">
        <f t="shared" si="7"/>
        <v>0</v>
      </c>
      <c r="AI14" s="1324">
        <f t="shared" si="7"/>
        <v>0</v>
      </c>
      <c r="AJ14" s="1324">
        <f t="shared" si="7"/>
        <v>0.67123287671232879</v>
      </c>
      <c r="AK14" s="1324">
        <f t="shared" si="7"/>
        <v>0</v>
      </c>
      <c r="AL14" s="1324">
        <f t="shared" si="7"/>
        <v>0</v>
      </c>
      <c r="AM14" s="1324">
        <f t="shared" si="7"/>
        <v>0</v>
      </c>
      <c r="AN14" s="1324">
        <f t="shared" si="7"/>
        <v>0</v>
      </c>
    </row>
    <row r="15" spans="1:40" ht="15" outlineLevel="1" x14ac:dyDescent="0.25">
      <c r="A15" s="1310">
        <v>6</v>
      </c>
      <c r="B15" s="1327" t="s">
        <v>838</v>
      </c>
      <c r="C15" s="1318"/>
      <c r="D15" s="1318"/>
      <c r="E15" s="1318"/>
      <c r="F15" s="1327">
        <v>24889</v>
      </c>
      <c r="G15" s="1319"/>
      <c r="H15" s="1319"/>
      <c r="I15" s="1319"/>
      <c r="J15" s="1319"/>
      <c r="K15" s="1319"/>
      <c r="L15" s="1319"/>
      <c r="M15" s="1319"/>
      <c r="N15" s="1319"/>
      <c r="O15" s="1320">
        <f t="shared" si="8"/>
        <v>24889</v>
      </c>
      <c r="P15" s="1315"/>
      <c r="Q15" s="1325">
        <v>42216</v>
      </c>
      <c r="R15" s="1310" t="s">
        <v>695</v>
      </c>
      <c r="S15" s="1325">
        <v>44712</v>
      </c>
      <c r="T15" s="1315"/>
      <c r="U15" s="1322"/>
      <c r="V15" s="1322"/>
      <c r="W15" s="1326"/>
      <c r="X15" s="1326"/>
      <c r="Y15" s="1325"/>
      <c r="Z15" s="1325">
        <v>44712</v>
      </c>
      <c r="AA15" s="1326"/>
      <c r="AB15" s="1326"/>
      <c r="AC15" s="1326"/>
      <c r="AD15" s="1326"/>
      <c r="AE15" s="1324">
        <f t="shared" si="9"/>
        <v>0</v>
      </c>
      <c r="AF15" s="1324">
        <f t="shared" si="7"/>
        <v>0</v>
      </c>
      <c r="AG15" s="1324">
        <f t="shared" si="7"/>
        <v>0</v>
      </c>
      <c r="AH15" s="1324">
        <f t="shared" si="7"/>
        <v>0</v>
      </c>
      <c r="AI15" s="1324">
        <f t="shared" si="7"/>
        <v>0</v>
      </c>
      <c r="AJ15" s="1324">
        <f>IF(ISBLANK(Z15),,(DATE(AJ$6,12,31)-Z15)/365)</f>
        <v>0.58630136986301373</v>
      </c>
      <c r="AK15" s="1324">
        <f t="shared" si="7"/>
        <v>0</v>
      </c>
      <c r="AL15" s="1324">
        <f t="shared" si="7"/>
        <v>0</v>
      </c>
      <c r="AM15" s="1324">
        <f t="shared" si="7"/>
        <v>0</v>
      </c>
      <c r="AN15" s="1324">
        <f t="shared" si="7"/>
        <v>0</v>
      </c>
    </row>
    <row r="16" spans="1:40" ht="15" outlineLevel="1" x14ac:dyDescent="0.25">
      <c r="A16" s="1310">
        <v>7</v>
      </c>
      <c r="B16" s="1327" t="s">
        <v>839</v>
      </c>
      <c r="C16" s="1318"/>
      <c r="D16" s="1318"/>
      <c r="E16" s="1327">
        <v>4578</v>
      </c>
      <c r="G16" s="1319"/>
      <c r="H16" s="1319"/>
      <c r="I16" s="1329"/>
      <c r="J16" s="1329"/>
      <c r="K16" s="1329"/>
      <c r="L16" s="1329"/>
      <c r="M16" s="1329"/>
      <c r="N16" s="1329"/>
      <c r="O16" s="1320">
        <f t="shared" si="8"/>
        <v>4578</v>
      </c>
      <c r="P16" s="1315"/>
      <c r="Q16" s="1321" t="s">
        <v>11</v>
      </c>
      <c r="R16" s="1310"/>
      <c r="S16" s="1325">
        <v>44291</v>
      </c>
      <c r="T16" s="1315"/>
      <c r="U16" s="1322"/>
      <c r="V16" s="1322"/>
      <c r="W16" s="1326"/>
      <c r="X16" s="1326"/>
      <c r="Y16" s="1325">
        <v>44291</v>
      </c>
      <c r="Z16" s="1326"/>
      <c r="AA16" s="1326"/>
      <c r="AB16" s="1326"/>
      <c r="AC16" s="1326"/>
      <c r="AD16" s="1326"/>
      <c r="AE16" s="1324">
        <f t="shared" si="9"/>
        <v>0</v>
      </c>
      <c r="AF16" s="1324">
        <f t="shared" si="7"/>
        <v>0</v>
      </c>
      <c r="AG16" s="1324">
        <f t="shared" si="7"/>
        <v>0</v>
      </c>
      <c r="AH16" s="1324">
        <f t="shared" si="7"/>
        <v>0</v>
      </c>
      <c r="AI16" s="1324">
        <f t="shared" si="7"/>
        <v>0.73972602739726023</v>
      </c>
      <c r="AJ16" s="1324">
        <f t="shared" si="7"/>
        <v>0</v>
      </c>
      <c r="AK16" s="1324">
        <f t="shared" si="7"/>
        <v>0</v>
      </c>
      <c r="AL16" s="1324">
        <f t="shared" si="7"/>
        <v>0</v>
      </c>
      <c r="AM16" s="1324">
        <f t="shared" si="7"/>
        <v>0</v>
      </c>
      <c r="AN16" s="1324">
        <f t="shared" si="7"/>
        <v>0</v>
      </c>
    </row>
    <row r="17" spans="1:51" ht="15" outlineLevel="1" x14ac:dyDescent="0.25">
      <c r="A17" s="1310">
        <f t="shared" si="10"/>
        <v>8</v>
      </c>
      <c r="B17" s="1327" t="s">
        <v>840</v>
      </c>
      <c r="C17" s="1318"/>
      <c r="D17" s="1318"/>
      <c r="E17" s="1327">
        <v>6937</v>
      </c>
      <c r="G17" s="1319"/>
      <c r="H17" s="1319"/>
      <c r="I17" s="1319"/>
      <c r="J17" s="1319"/>
      <c r="K17" s="1319"/>
      <c r="L17" s="1319"/>
      <c r="M17" s="1319"/>
      <c r="N17" s="1319"/>
      <c r="O17" s="1320">
        <f t="shared" si="8"/>
        <v>6937</v>
      </c>
      <c r="P17" s="1315"/>
      <c r="Q17" s="1325">
        <v>42674</v>
      </c>
      <c r="R17" s="1310" t="s">
        <v>695</v>
      </c>
      <c r="S17" s="1325">
        <v>44346</v>
      </c>
      <c r="T17" s="1315"/>
      <c r="U17" s="1322"/>
      <c r="V17" s="1322"/>
      <c r="W17" s="1326"/>
      <c r="X17" s="1326"/>
      <c r="Y17" s="1325">
        <v>44346</v>
      </c>
      <c r="Z17" s="1326"/>
      <c r="AA17" s="1326"/>
      <c r="AB17" s="1326"/>
      <c r="AC17" s="1326"/>
      <c r="AD17" s="1326"/>
      <c r="AE17" s="1324">
        <f t="shared" si="9"/>
        <v>0</v>
      </c>
      <c r="AF17" s="1324">
        <f t="shared" si="7"/>
        <v>0</v>
      </c>
      <c r="AG17" s="1324">
        <f t="shared" si="7"/>
        <v>0</v>
      </c>
      <c r="AH17" s="1324">
        <f t="shared" si="7"/>
        <v>0</v>
      </c>
      <c r="AI17" s="1324">
        <f t="shared" si="7"/>
        <v>0.58904109589041098</v>
      </c>
      <c r="AJ17" s="1324">
        <f t="shared" si="7"/>
        <v>0</v>
      </c>
      <c r="AK17" s="1324">
        <f t="shared" si="7"/>
        <v>0</v>
      </c>
      <c r="AL17" s="1324">
        <f t="shared" si="7"/>
        <v>0</v>
      </c>
      <c r="AM17" s="1324">
        <f t="shared" si="7"/>
        <v>0</v>
      </c>
      <c r="AN17" s="1324">
        <f t="shared" si="7"/>
        <v>0</v>
      </c>
    </row>
    <row r="18" spans="1:51" ht="15" outlineLevel="1" x14ac:dyDescent="0.25">
      <c r="A18" s="1310">
        <v>9</v>
      </c>
      <c r="B18" s="1327" t="s">
        <v>697</v>
      </c>
      <c r="C18" s="1318"/>
      <c r="D18" s="1318"/>
      <c r="E18" s="1327">
        <v>7767</v>
      </c>
      <c r="G18" s="1319"/>
      <c r="H18" s="1319"/>
      <c r="I18" s="1319"/>
      <c r="J18" s="1319"/>
      <c r="K18" s="1319"/>
      <c r="L18" s="1319"/>
      <c r="M18" s="1319"/>
      <c r="N18" s="1319"/>
      <c r="O18" s="1320">
        <f t="shared" si="8"/>
        <v>7767</v>
      </c>
      <c r="P18" s="1315"/>
      <c r="Q18" s="1325"/>
      <c r="R18" s="1310"/>
      <c r="S18" s="1325">
        <v>44347</v>
      </c>
      <c r="T18" s="1315"/>
      <c r="U18" s="1322"/>
      <c r="W18" s="1326"/>
      <c r="X18" s="1326"/>
      <c r="Y18" s="1325">
        <v>44347</v>
      </c>
      <c r="Z18" s="1326"/>
      <c r="AA18" s="1326"/>
      <c r="AB18" s="1326"/>
      <c r="AC18" s="1326"/>
      <c r="AD18" s="1326"/>
      <c r="AE18" s="1324"/>
      <c r="AF18" s="1324"/>
      <c r="AG18" s="1324"/>
      <c r="AH18" s="1324"/>
      <c r="AI18" s="1324"/>
      <c r="AJ18" s="1324"/>
      <c r="AK18" s="1324"/>
      <c r="AL18" s="1324"/>
      <c r="AM18" s="1324"/>
      <c r="AN18" s="1324"/>
    </row>
    <row r="19" spans="1:51" ht="15" outlineLevel="1" x14ac:dyDescent="0.25">
      <c r="A19" s="1310">
        <v>10</v>
      </c>
      <c r="B19" s="1327" t="s">
        <v>699</v>
      </c>
      <c r="C19" s="1318"/>
      <c r="D19" s="1318"/>
      <c r="E19" s="1327">
        <v>2550</v>
      </c>
      <c r="F19" s="1318"/>
      <c r="G19" s="1330"/>
      <c r="H19" s="1319"/>
      <c r="I19" s="1329"/>
      <c r="J19" s="1329"/>
      <c r="K19" s="1329"/>
      <c r="L19" s="1329"/>
      <c r="M19" s="1329"/>
      <c r="N19" s="1329"/>
      <c r="O19" s="1320">
        <f t="shared" si="8"/>
        <v>2550</v>
      </c>
      <c r="P19" s="1315"/>
      <c r="Q19" s="1325"/>
      <c r="R19" s="1310"/>
      <c r="S19" s="1325">
        <v>44280</v>
      </c>
      <c r="T19" s="1315"/>
      <c r="U19" s="1326"/>
      <c r="V19" s="1322"/>
      <c r="W19" s="1326"/>
      <c r="X19" s="1326"/>
      <c r="Y19" s="1325">
        <v>44280</v>
      </c>
      <c r="Z19" s="1326"/>
      <c r="AA19" s="1326"/>
      <c r="AB19" s="1326"/>
      <c r="AC19" s="1326"/>
      <c r="AD19" s="1326"/>
      <c r="AE19" s="1324"/>
      <c r="AF19" s="1324"/>
      <c r="AG19" s="1324"/>
      <c r="AH19" s="1324"/>
      <c r="AI19" s="1324"/>
      <c r="AJ19" s="1324"/>
      <c r="AK19" s="1324"/>
      <c r="AL19" s="1324"/>
      <c r="AM19" s="1324"/>
      <c r="AN19" s="1324"/>
    </row>
    <row r="20" spans="1:51" ht="15" outlineLevel="1" x14ac:dyDescent="0.25">
      <c r="A20" s="1310">
        <f t="shared" si="10"/>
        <v>11</v>
      </c>
      <c r="B20" s="1327" t="s">
        <v>700</v>
      </c>
      <c r="C20" s="1318"/>
      <c r="D20" s="1318"/>
      <c r="E20" s="1318"/>
      <c r="F20" s="1327">
        <v>8839</v>
      </c>
      <c r="G20" s="1330"/>
      <c r="H20" s="1319"/>
      <c r="I20" s="1329"/>
      <c r="J20" s="1329"/>
      <c r="K20" s="1329"/>
      <c r="L20" s="1329"/>
      <c r="M20" s="1329"/>
      <c r="N20" s="1329"/>
      <c r="O20" s="1320">
        <f t="shared" si="8"/>
        <v>8839</v>
      </c>
      <c r="P20" s="1315"/>
      <c r="Q20" s="1325"/>
      <c r="R20" s="1310"/>
      <c r="S20" s="1325">
        <v>44651</v>
      </c>
      <c r="T20" s="1315"/>
      <c r="U20" s="1326"/>
      <c r="V20" s="1322"/>
      <c r="W20" s="1326"/>
      <c r="X20" s="1326"/>
      <c r="Y20" s="1325"/>
      <c r="Z20" s="1325">
        <v>44651</v>
      </c>
      <c r="AA20" s="1326"/>
      <c r="AB20" s="1326"/>
      <c r="AC20" s="1326"/>
      <c r="AD20" s="1326"/>
      <c r="AE20" s="1324"/>
      <c r="AF20" s="1324"/>
      <c r="AG20" s="1324"/>
      <c r="AH20" s="1324"/>
      <c r="AI20" s="1324"/>
      <c r="AJ20" s="1324"/>
      <c r="AK20" s="1324"/>
      <c r="AL20" s="1324"/>
      <c r="AM20" s="1324"/>
      <c r="AN20" s="1324"/>
    </row>
    <row r="21" spans="1:51" ht="15" outlineLevel="1" x14ac:dyDescent="0.25">
      <c r="A21" s="1310">
        <v>12</v>
      </c>
      <c r="B21" s="1327" t="s">
        <v>701</v>
      </c>
      <c r="C21" s="1318"/>
      <c r="D21" s="1318"/>
      <c r="E21" s="1327">
        <v>3395</v>
      </c>
      <c r="F21" s="1290"/>
      <c r="G21" s="1330"/>
      <c r="H21" s="1330"/>
      <c r="I21" s="1330"/>
      <c r="J21" s="1330"/>
      <c r="K21" s="1330"/>
      <c r="L21" s="1330"/>
      <c r="M21" s="1330"/>
      <c r="N21" s="1330"/>
      <c r="O21" s="1320">
        <f t="shared" si="8"/>
        <v>3395</v>
      </c>
      <c r="P21" s="1315"/>
      <c r="Q21" s="1325"/>
      <c r="R21" s="1310"/>
      <c r="S21" s="1325">
        <v>44773</v>
      </c>
      <c r="T21" s="1315"/>
      <c r="U21" s="1326"/>
      <c r="V21" s="1322"/>
      <c r="W21" s="1322"/>
      <c r="X21" s="1326"/>
      <c r="Y21" s="1325"/>
      <c r="Z21" s="1325">
        <v>44773</v>
      </c>
      <c r="AA21" s="1326"/>
      <c r="AB21" s="1326"/>
      <c r="AC21" s="1326"/>
      <c r="AD21" s="1326"/>
      <c r="AE21" s="1324"/>
      <c r="AF21" s="1324"/>
      <c r="AG21" s="1324"/>
      <c r="AH21" s="1324"/>
      <c r="AI21" s="1324"/>
      <c r="AJ21" s="1324"/>
      <c r="AK21" s="1324"/>
      <c r="AL21" s="1324"/>
      <c r="AM21" s="1324"/>
      <c r="AN21" s="1324"/>
    </row>
    <row r="22" spans="1:51" ht="15" outlineLevel="1" x14ac:dyDescent="0.25">
      <c r="A22" s="1310">
        <v>13</v>
      </c>
      <c r="B22" s="1327" t="s">
        <v>696</v>
      </c>
      <c r="C22" s="1318"/>
      <c r="D22" s="1318"/>
      <c r="E22" s="1318"/>
      <c r="F22" s="1327">
        <v>5610</v>
      </c>
      <c r="G22" s="1331"/>
      <c r="H22" s="1330"/>
      <c r="I22" s="1330"/>
      <c r="J22" s="1330"/>
      <c r="K22" s="1330"/>
      <c r="L22" s="1330"/>
      <c r="M22" s="1330"/>
      <c r="N22" s="1330"/>
      <c r="O22" s="1320">
        <f t="shared" si="8"/>
        <v>5610</v>
      </c>
      <c r="P22" s="1315"/>
      <c r="Q22" s="1325"/>
      <c r="R22" s="1310"/>
      <c r="S22" s="1325">
        <v>44865</v>
      </c>
      <c r="T22" s="1315"/>
      <c r="U22" s="1322"/>
      <c r="W22" s="1322"/>
      <c r="X22" s="1326"/>
      <c r="Y22" s="1325"/>
      <c r="Z22" s="1325">
        <v>44865</v>
      </c>
      <c r="AA22" s="1326"/>
      <c r="AB22" s="1326"/>
      <c r="AC22" s="1326"/>
      <c r="AD22" s="1326"/>
      <c r="AE22" s="1324"/>
      <c r="AF22" s="1324"/>
      <c r="AG22" s="1324"/>
      <c r="AH22" s="1324"/>
      <c r="AI22" s="1324"/>
      <c r="AJ22" s="1324"/>
      <c r="AK22" s="1324"/>
      <c r="AL22" s="1324"/>
      <c r="AM22" s="1324"/>
      <c r="AN22" s="1324"/>
    </row>
    <row r="23" spans="1:51" ht="15" outlineLevel="1" x14ac:dyDescent="0.25">
      <c r="A23" s="1310">
        <f t="shared" si="10"/>
        <v>14</v>
      </c>
      <c r="B23" s="1327" t="s">
        <v>841</v>
      </c>
      <c r="C23" s="1318"/>
      <c r="D23" s="1318"/>
      <c r="E23" s="1318"/>
      <c r="G23" s="1327">
        <v>6085</v>
      </c>
      <c r="H23" s="1330"/>
      <c r="I23" s="1330"/>
      <c r="J23" s="1330"/>
      <c r="K23" s="1330"/>
      <c r="L23" s="1330"/>
      <c r="M23" s="1330"/>
      <c r="N23" s="1330"/>
      <c r="O23" s="1320">
        <f t="shared" si="8"/>
        <v>6085</v>
      </c>
      <c r="P23" s="1315"/>
      <c r="Q23" s="1325"/>
      <c r="R23" s="1310"/>
      <c r="S23" s="1325">
        <v>45199</v>
      </c>
      <c r="T23" s="1315"/>
      <c r="U23" s="1322"/>
      <c r="W23" s="1322"/>
      <c r="X23" s="1326"/>
      <c r="Y23" s="1326"/>
      <c r="Z23" s="1325"/>
      <c r="AA23" s="1325">
        <v>45199</v>
      </c>
      <c r="AB23" s="1326"/>
      <c r="AC23" s="1326"/>
      <c r="AD23" s="1326"/>
      <c r="AE23" s="1324"/>
      <c r="AF23" s="1324"/>
      <c r="AG23" s="1324"/>
      <c r="AH23" s="1324"/>
      <c r="AI23" s="1324"/>
      <c r="AJ23" s="1324"/>
      <c r="AK23" s="1324"/>
      <c r="AL23" s="1324"/>
      <c r="AM23" s="1324"/>
      <c r="AN23" s="1324"/>
    </row>
    <row r="24" spans="1:51" ht="15" x14ac:dyDescent="0.25">
      <c r="A24" s="1310">
        <v>15</v>
      </c>
      <c r="B24" s="1327" t="s">
        <v>842</v>
      </c>
      <c r="C24" s="1318"/>
      <c r="D24" s="1318"/>
      <c r="E24" s="1318"/>
      <c r="F24" s="1332"/>
      <c r="G24" s="1327">
        <v>57282</v>
      </c>
      <c r="H24" s="1331"/>
      <c r="I24" s="1331"/>
      <c r="J24" s="1331"/>
      <c r="K24" s="1331"/>
      <c r="L24" s="1330"/>
      <c r="M24" s="1330"/>
      <c r="N24" s="1330"/>
      <c r="O24" s="1320">
        <f t="shared" si="8"/>
        <v>57282</v>
      </c>
      <c r="P24" s="1315"/>
      <c r="Q24" s="1325"/>
      <c r="R24" s="1310"/>
      <c r="S24" s="1325">
        <v>45016</v>
      </c>
      <c r="T24" s="1315"/>
      <c r="U24" s="1326"/>
      <c r="V24" s="1322"/>
      <c r="W24" s="1326"/>
      <c r="X24" s="1326"/>
      <c r="Y24" s="1326"/>
      <c r="Z24" s="1328"/>
      <c r="AA24" s="1325">
        <v>45016</v>
      </c>
      <c r="AB24" s="1326"/>
      <c r="AC24" s="1326"/>
      <c r="AD24" s="1326"/>
      <c r="AE24" s="1324"/>
      <c r="AF24" s="1324"/>
      <c r="AG24" s="1324"/>
      <c r="AH24" s="1324"/>
      <c r="AI24" s="1324"/>
      <c r="AJ24" s="1324"/>
      <c r="AK24" s="1324"/>
      <c r="AL24" s="1324"/>
      <c r="AM24" s="1324"/>
      <c r="AN24" s="1324"/>
    </row>
    <row r="25" spans="1:51" ht="15" outlineLevel="1" x14ac:dyDescent="0.25">
      <c r="A25" s="1310">
        <v>16</v>
      </c>
      <c r="B25" s="1327" t="s">
        <v>843</v>
      </c>
      <c r="C25" s="1318"/>
      <c r="D25" s="1318"/>
      <c r="E25" s="1318"/>
      <c r="F25" s="1332"/>
      <c r="G25" s="1327">
        <v>34967</v>
      </c>
      <c r="H25" s="1331"/>
      <c r="I25" s="1331"/>
      <c r="J25" s="1331"/>
      <c r="K25" s="1331"/>
      <c r="L25" s="1330"/>
      <c r="M25" s="1330"/>
      <c r="N25" s="1330"/>
      <c r="O25" s="1320">
        <f t="shared" si="8"/>
        <v>34967</v>
      </c>
      <c r="P25" s="1315"/>
      <c r="Q25" s="1325"/>
      <c r="R25" s="1310"/>
      <c r="S25" s="1325">
        <v>45016</v>
      </c>
      <c r="T25" s="1315"/>
      <c r="U25" s="1322"/>
      <c r="W25" s="1326"/>
      <c r="X25" s="1326"/>
      <c r="Y25" s="1326"/>
      <c r="Z25" s="1325"/>
      <c r="AA25" s="1325">
        <v>45016</v>
      </c>
      <c r="AB25" s="1326"/>
      <c r="AC25" s="1326"/>
      <c r="AD25" s="1326"/>
      <c r="AE25" s="1324"/>
      <c r="AF25" s="1324"/>
      <c r="AG25" s="1324"/>
      <c r="AH25" s="1324"/>
      <c r="AI25" s="1324"/>
      <c r="AJ25" s="1324"/>
      <c r="AK25" s="1324"/>
      <c r="AL25" s="1324"/>
      <c r="AM25" s="1324"/>
      <c r="AN25" s="1324"/>
    </row>
    <row r="26" spans="1:51" ht="15" outlineLevel="1" x14ac:dyDescent="0.25">
      <c r="A26" s="1310">
        <f t="shared" si="10"/>
        <v>17</v>
      </c>
      <c r="B26" s="1327" t="s">
        <v>844</v>
      </c>
      <c r="C26" s="1318"/>
      <c r="D26" s="1318"/>
      <c r="E26" s="1318"/>
      <c r="F26" s="1332"/>
      <c r="G26" s="1327">
        <v>24246</v>
      </c>
      <c r="H26" s="1331"/>
      <c r="I26" s="1290"/>
      <c r="J26" s="1331"/>
      <c r="K26" s="1331"/>
      <c r="L26" s="1330"/>
      <c r="M26" s="1331"/>
      <c r="N26" s="1331"/>
      <c r="O26" s="1320">
        <f t="shared" si="8"/>
        <v>24246</v>
      </c>
      <c r="P26" s="1315"/>
      <c r="Q26" s="1325"/>
      <c r="R26" s="1321"/>
      <c r="S26" s="1325">
        <v>45016</v>
      </c>
      <c r="T26" s="1315"/>
      <c r="U26" s="1326"/>
      <c r="V26" s="1326"/>
      <c r="W26" s="1322"/>
      <c r="X26" s="1322"/>
      <c r="Y26" s="1322"/>
      <c r="Z26" s="1325"/>
      <c r="AA26" s="1325">
        <v>45016</v>
      </c>
      <c r="AB26" s="1326"/>
      <c r="AC26" s="1326"/>
      <c r="AD26" s="1326"/>
      <c r="AE26" s="1324"/>
      <c r="AF26" s="1324"/>
      <c r="AG26" s="1324"/>
      <c r="AH26" s="1324"/>
      <c r="AI26" s="1324"/>
      <c r="AJ26" s="1324"/>
      <c r="AK26" s="1324"/>
      <c r="AL26" s="1324"/>
      <c r="AM26" s="1324"/>
      <c r="AN26" s="1324"/>
    </row>
    <row r="27" spans="1:51" s="1332" customFormat="1" ht="15" outlineLevel="1" x14ac:dyDescent="0.25">
      <c r="A27" s="1310"/>
      <c r="B27" s="1318"/>
      <c r="C27" s="1318"/>
      <c r="D27" s="1318"/>
      <c r="E27" s="1318"/>
      <c r="F27" s="1318"/>
      <c r="G27" s="1331"/>
      <c r="H27" s="1331"/>
      <c r="I27" s="1331"/>
      <c r="J27" s="1331"/>
      <c r="K27" s="1331"/>
      <c r="L27" s="1331"/>
      <c r="M27" s="1331"/>
      <c r="N27" s="1331"/>
      <c r="O27" s="1320">
        <f t="shared" si="8"/>
        <v>0</v>
      </c>
      <c r="P27" s="1315"/>
      <c r="Q27" s="1325"/>
      <c r="R27" s="1310"/>
      <c r="S27" s="1325"/>
      <c r="T27" s="1315"/>
      <c r="U27" s="1333"/>
      <c r="V27" s="1322"/>
      <c r="W27" s="1333"/>
      <c r="X27" s="1333"/>
      <c r="Y27" s="1333"/>
      <c r="Z27" s="1325"/>
      <c r="AA27" s="1333"/>
      <c r="AB27" s="1333"/>
      <c r="AC27" s="1333"/>
      <c r="AD27" s="1333"/>
      <c r="AE27" s="1324"/>
      <c r="AF27" s="1324"/>
      <c r="AG27" s="1324"/>
      <c r="AH27" s="1324"/>
      <c r="AI27" s="1324"/>
      <c r="AJ27" s="1324"/>
      <c r="AK27" s="1324"/>
      <c r="AL27" s="1324"/>
      <c r="AM27" s="1324"/>
      <c r="AN27" s="1324"/>
      <c r="AQ27" s="1291"/>
      <c r="AR27" s="1291"/>
      <c r="AY27" s="1291"/>
    </row>
    <row r="28" spans="1:51" s="1332" customFormat="1" ht="15" outlineLevel="1" x14ac:dyDescent="0.25">
      <c r="A28" s="1310"/>
      <c r="B28" s="1318"/>
      <c r="C28" s="1318"/>
      <c r="D28" s="1318"/>
      <c r="E28" s="1318"/>
      <c r="F28" s="1318"/>
      <c r="G28" s="1331"/>
      <c r="H28" s="1331"/>
      <c r="I28" s="1331"/>
      <c r="J28" s="1331"/>
      <c r="K28" s="1331"/>
      <c r="L28" s="1331"/>
      <c r="M28" s="1331"/>
      <c r="N28" s="1331"/>
      <c r="O28" s="1320">
        <f t="shared" si="8"/>
        <v>0</v>
      </c>
      <c r="P28" s="1315"/>
      <c r="Q28" s="1325"/>
      <c r="R28" s="1310"/>
      <c r="S28" s="1325"/>
      <c r="T28" s="1315"/>
      <c r="U28" s="1333"/>
      <c r="V28" s="1322"/>
      <c r="W28" s="1322"/>
      <c r="X28" s="1322"/>
      <c r="Y28" s="1333"/>
      <c r="Z28" s="1325"/>
      <c r="AA28" s="1333"/>
      <c r="AB28" s="1333"/>
      <c r="AC28" s="1333"/>
      <c r="AD28" s="1333"/>
      <c r="AE28" s="1324"/>
      <c r="AF28" s="1324"/>
      <c r="AG28" s="1324"/>
      <c r="AH28" s="1324"/>
      <c r="AI28" s="1324"/>
      <c r="AJ28" s="1324"/>
      <c r="AK28" s="1324"/>
      <c r="AL28" s="1324"/>
      <c r="AM28" s="1324"/>
      <c r="AN28" s="1324"/>
      <c r="AQ28" s="1291"/>
      <c r="AR28" s="1291"/>
      <c r="AY28" s="1291"/>
    </row>
    <row r="29" spans="1:51" s="1332" customFormat="1" ht="15" outlineLevel="1" x14ac:dyDescent="0.25">
      <c r="A29" s="1310"/>
      <c r="B29" s="1318"/>
      <c r="C29" s="1318"/>
      <c r="D29" s="1318"/>
      <c r="E29" s="1318"/>
      <c r="F29" s="1318"/>
      <c r="G29" s="1331"/>
      <c r="H29" s="1331"/>
      <c r="I29" s="1331"/>
      <c r="J29" s="1331"/>
      <c r="K29" s="1331"/>
      <c r="L29" s="1331"/>
      <c r="M29" s="1331"/>
      <c r="N29" s="1331"/>
      <c r="O29" s="1320">
        <f t="shared" si="8"/>
        <v>0</v>
      </c>
      <c r="P29" s="1315"/>
      <c r="Q29" s="1325"/>
      <c r="R29" s="1310"/>
      <c r="S29" s="1325"/>
      <c r="T29" s="1315"/>
      <c r="U29" s="1333"/>
      <c r="V29" s="1322"/>
      <c r="W29" s="1322"/>
      <c r="X29" s="1322"/>
      <c r="Y29" s="1333"/>
      <c r="Z29" s="1325"/>
      <c r="AA29" s="1333"/>
      <c r="AB29" s="1333"/>
      <c r="AC29" s="1333"/>
      <c r="AD29" s="1333"/>
      <c r="AE29" s="1324"/>
      <c r="AF29" s="1324"/>
      <c r="AG29" s="1324"/>
      <c r="AH29" s="1324"/>
      <c r="AI29" s="1324"/>
      <c r="AJ29" s="1324"/>
      <c r="AK29" s="1324"/>
      <c r="AL29" s="1324"/>
      <c r="AM29" s="1324"/>
      <c r="AN29" s="1324"/>
      <c r="AQ29" s="1291"/>
      <c r="AR29" s="1291"/>
      <c r="AY29" s="1291"/>
    </row>
    <row r="30" spans="1:51" s="1336" customFormat="1" ht="15" outlineLevel="1" x14ac:dyDescent="0.25">
      <c r="A30" s="1297"/>
      <c r="B30" s="1334" t="s">
        <v>845</v>
      </c>
      <c r="C30" s="1334"/>
      <c r="D30" s="1334"/>
      <c r="E30" s="1334"/>
      <c r="F30" s="1334"/>
      <c r="G30" s="1308"/>
      <c r="H30" s="1308"/>
      <c r="I30" s="1308"/>
      <c r="J30" s="1308"/>
      <c r="K30" s="1308"/>
      <c r="L30" s="1308"/>
      <c r="M30" s="1308"/>
      <c r="N30" s="1308"/>
      <c r="O30" s="1308"/>
      <c r="P30" s="1308"/>
      <c r="Q30" s="1335"/>
      <c r="R30" s="1297"/>
      <c r="S30" s="1335"/>
      <c r="T30" s="1308"/>
      <c r="V30" s="1335"/>
      <c r="W30" s="1335"/>
      <c r="X30" s="1335"/>
      <c r="AE30" s="1337"/>
      <c r="AF30" s="1337"/>
      <c r="AG30" s="1337"/>
      <c r="AH30" s="1337"/>
      <c r="AI30" s="1337"/>
      <c r="AJ30" s="1337"/>
      <c r="AK30" s="1337"/>
      <c r="AL30" s="1337"/>
      <c r="AM30" s="1337"/>
      <c r="AN30" s="1337"/>
    </row>
    <row r="31" spans="1:51" s="1332" customFormat="1" ht="15" outlineLevel="1" x14ac:dyDescent="0.25">
      <c r="A31" s="1310">
        <v>18</v>
      </c>
      <c r="B31" s="1327" t="s">
        <v>703</v>
      </c>
      <c r="C31" s="1318"/>
      <c r="D31" s="1318"/>
      <c r="E31" s="1318"/>
      <c r="F31" s="1318"/>
      <c r="G31" s="1327">
        <v>4585</v>
      </c>
      <c r="I31" s="1331"/>
      <c r="J31" s="1331"/>
      <c r="K31" s="1331"/>
      <c r="L31" s="1331"/>
      <c r="M31" s="1331"/>
      <c r="N31" s="1331"/>
      <c r="O31" s="1320">
        <f t="shared" ref="O31:O37" si="11">SUM(C31:N31)</f>
        <v>4585</v>
      </c>
      <c r="P31" s="1315"/>
      <c r="Q31" s="1325"/>
      <c r="R31" s="1310"/>
      <c r="S31" s="1325">
        <v>45291</v>
      </c>
      <c r="T31" s="1315"/>
      <c r="U31" s="1333"/>
      <c r="V31" s="1322"/>
      <c r="W31" s="1322"/>
      <c r="Y31" s="1333"/>
      <c r="Z31" s="1333"/>
      <c r="AA31" s="1325">
        <v>45291</v>
      </c>
      <c r="AB31" s="1333"/>
      <c r="AC31" s="1333"/>
      <c r="AD31" s="1333"/>
      <c r="AE31" s="1324">
        <f t="shared" ref="AE31:AN37" si="12">IF(ISBLANK(U31),,(DATE(AE$6,12,31)-U31)/365)</f>
        <v>0</v>
      </c>
      <c r="AF31" s="1324">
        <f t="shared" si="12"/>
        <v>0</v>
      </c>
      <c r="AG31" s="1324">
        <f t="shared" si="12"/>
        <v>0</v>
      </c>
      <c r="AH31" s="1324">
        <f t="shared" si="12"/>
        <v>0</v>
      </c>
      <c r="AI31" s="1324">
        <f t="shared" si="12"/>
        <v>0</v>
      </c>
      <c r="AJ31" s="1324">
        <f t="shared" si="12"/>
        <v>0</v>
      </c>
      <c r="AK31" s="1324">
        <f t="shared" si="12"/>
        <v>0</v>
      </c>
      <c r="AL31" s="1324">
        <f t="shared" si="12"/>
        <v>0</v>
      </c>
      <c r="AM31" s="1324">
        <f t="shared" si="12"/>
        <v>0</v>
      </c>
      <c r="AN31" s="1324">
        <f t="shared" si="12"/>
        <v>0</v>
      </c>
      <c r="AQ31" s="1291"/>
      <c r="AR31" s="1291"/>
      <c r="AY31" s="1291"/>
    </row>
    <row r="32" spans="1:51" ht="15" outlineLevel="1" x14ac:dyDescent="0.25">
      <c r="A32" s="1310">
        <v>19</v>
      </c>
      <c r="B32" s="1327" t="s">
        <v>846</v>
      </c>
      <c r="C32" s="1318"/>
      <c r="D32" s="1318"/>
      <c r="E32" s="1318"/>
      <c r="F32" s="1318"/>
      <c r="G32" s="1327">
        <v>36258</v>
      </c>
      <c r="I32" s="1320"/>
      <c r="J32" s="1320"/>
      <c r="K32" s="1320"/>
      <c r="L32" s="1320"/>
      <c r="M32" s="1320"/>
      <c r="N32" s="1330"/>
      <c r="O32" s="1320">
        <f t="shared" si="11"/>
        <v>36258</v>
      </c>
      <c r="P32" s="1315"/>
      <c r="Q32" s="1325"/>
      <c r="R32" s="1321"/>
      <c r="S32" s="1325">
        <v>45291</v>
      </c>
      <c r="T32" s="1315"/>
      <c r="U32" s="1326"/>
      <c r="V32" s="1322"/>
      <c r="W32" s="1322"/>
      <c r="Y32" s="1326"/>
      <c r="Z32" s="1326"/>
      <c r="AA32" s="1325">
        <v>45291</v>
      </c>
      <c r="AB32" s="1326"/>
      <c r="AC32" s="1326"/>
      <c r="AD32" s="1326"/>
      <c r="AE32" s="1324">
        <f t="shared" si="12"/>
        <v>0</v>
      </c>
      <c r="AF32" s="1324">
        <f t="shared" si="12"/>
        <v>0</v>
      </c>
      <c r="AG32" s="1324">
        <f t="shared" si="12"/>
        <v>0</v>
      </c>
      <c r="AH32" s="1324">
        <f t="shared" si="12"/>
        <v>0</v>
      </c>
      <c r="AI32" s="1324">
        <f t="shared" si="12"/>
        <v>0</v>
      </c>
      <c r="AJ32" s="1324">
        <f t="shared" si="12"/>
        <v>0</v>
      </c>
      <c r="AK32" s="1324">
        <f t="shared" si="12"/>
        <v>0</v>
      </c>
      <c r="AL32" s="1324">
        <f t="shared" si="12"/>
        <v>0</v>
      </c>
      <c r="AM32" s="1324">
        <f t="shared" si="12"/>
        <v>0</v>
      </c>
      <c r="AN32" s="1324">
        <f t="shared" si="12"/>
        <v>0</v>
      </c>
    </row>
    <row r="33" spans="1:40" ht="15" outlineLevel="1" x14ac:dyDescent="0.25">
      <c r="A33" s="1310">
        <v>20</v>
      </c>
      <c r="B33" s="1327" t="s">
        <v>847</v>
      </c>
      <c r="C33" s="1318"/>
      <c r="D33" s="1318"/>
      <c r="E33" s="1318"/>
      <c r="F33" s="1318"/>
      <c r="G33" s="1318"/>
      <c r="H33" s="1327">
        <v>15550</v>
      </c>
      <c r="I33" s="1330"/>
      <c r="J33" s="1330"/>
      <c r="K33" s="1330"/>
      <c r="L33" s="1330"/>
      <c r="M33" s="1330"/>
      <c r="N33" s="1331"/>
      <c r="O33" s="1320">
        <f t="shared" si="11"/>
        <v>15550</v>
      </c>
      <c r="P33" s="1315"/>
      <c r="Q33" s="1325"/>
      <c r="R33" s="1321"/>
      <c r="S33" s="1325">
        <v>45412</v>
      </c>
      <c r="T33" s="1315"/>
      <c r="U33" s="1326"/>
      <c r="V33" s="1322"/>
      <c r="W33" s="1322"/>
      <c r="X33" s="1326"/>
      <c r="Y33" s="1326"/>
      <c r="Z33" s="1326"/>
      <c r="AA33" s="1325"/>
      <c r="AB33" s="1325">
        <v>45412</v>
      </c>
      <c r="AC33" s="1326"/>
      <c r="AD33" s="1326"/>
      <c r="AE33" s="1324">
        <f t="shared" si="12"/>
        <v>0</v>
      </c>
      <c r="AF33" s="1324">
        <f t="shared" si="12"/>
        <v>0</v>
      </c>
      <c r="AG33" s="1324">
        <f t="shared" si="12"/>
        <v>0</v>
      </c>
      <c r="AH33" s="1324">
        <f t="shared" si="12"/>
        <v>0</v>
      </c>
      <c r="AI33" s="1324">
        <f t="shared" si="12"/>
        <v>0</v>
      </c>
      <c r="AJ33" s="1324">
        <f t="shared" si="12"/>
        <v>0</v>
      </c>
      <c r="AK33" s="1324">
        <f t="shared" si="12"/>
        <v>0</v>
      </c>
      <c r="AL33" s="1324">
        <f t="shared" si="12"/>
        <v>0.67123287671232879</v>
      </c>
      <c r="AM33" s="1324">
        <f t="shared" si="12"/>
        <v>0</v>
      </c>
      <c r="AN33" s="1324">
        <f t="shared" si="12"/>
        <v>0</v>
      </c>
    </row>
    <row r="34" spans="1:40" ht="15" outlineLevel="1" x14ac:dyDescent="0.25">
      <c r="A34" s="1310">
        <v>21</v>
      </c>
      <c r="B34" s="1327" t="s">
        <v>848</v>
      </c>
      <c r="C34" s="1318"/>
      <c r="D34" s="1318"/>
      <c r="E34" s="1318"/>
      <c r="F34" s="1318"/>
      <c r="G34" s="1318"/>
      <c r="H34" s="1327">
        <v>33483</v>
      </c>
      <c r="I34" s="1330"/>
      <c r="J34" s="1330"/>
      <c r="K34" s="1330"/>
      <c r="L34" s="1330"/>
      <c r="M34" s="1330"/>
      <c r="N34" s="1330"/>
      <c r="O34" s="1320">
        <f t="shared" si="11"/>
        <v>33483</v>
      </c>
      <c r="P34" s="1315"/>
      <c r="Q34" s="1325"/>
      <c r="R34" s="1321"/>
      <c r="S34" s="1325">
        <v>45626</v>
      </c>
      <c r="T34" s="1315"/>
      <c r="U34" s="1326"/>
      <c r="V34" s="1322"/>
      <c r="W34" s="1322"/>
      <c r="Y34" s="1326"/>
      <c r="Z34" s="1326"/>
      <c r="AA34" s="1325"/>
      <c r="AB34" s="1325">
        <v>45626</v>
      </c>
      <c r="AC34" s="1326"/>
      <c r="AD34" s="1326"/>
      <c r="AE34" s="1324">
        <f t="shared" si="12"/>
        <v>0</v>
      </c>
      <c r="AF34" s="1324">
        <f t="shared" si="12"/>
        <v>0</v>
      </c>
      <c r="AG34" s="1324">
        <f t="shared" si="12"/>
        <v>0</v>
      </c>
      <c r="AH34" s="1324">
        <f t="shared" si="12"/>
        <v>0</v>
      </c>
      <c r="AI34" s="1324">
        <f t="shared" si="12"/>
        <v>0</v>
      </c>
      <c r="AJ34" s="1324">
        <f t="shared" si="12"/>
        <v>0</v>
      </c>
      <c r="AK34" s="1324">
        <f t="shared" si="12"/>
        <v>0</v>
      </c>
      <c r="AL34" s="1324">
        <f t="shared" si="12"/>
        <v>8.4931506849315067E-2</v>
      </c>
      <c r="AM34" s="1324">
        <f t="shared" si="12"/>
        <v>0</v>
      </c>
      <c r="AN34" s="1324">
        <f t="shared" si="12"/>
        <v>0</v>
      </c>
    </row>
    <row r="35" spans="1:40" ht="15" outlineLevel="1" x14ac:dyDescent="0.25">
      <c r="A35" s="1310">
        <v>22</v>
      </c>
      <c r="B35" s="1327" t="s">
        <v>849</v>
      </c>
      <c r="C35" s="1318"/>
      <c r="D35" s="1318"/>
      <c r="E35" s="1318"/>
      <c r="F35" s="1318"/>
      <c r="G35" s="1318"/>
      <c r="H35" s="1327">
        <v>16138</v>
      </c>
      <c r="J35" s="1330"/>
      <c r="K35" s="1319"/>
      <c r="L35" s="1319"/>
      <c r="M35" s="1319"/>
      <c r="N35" s="1319"/>
      <c r="O35" s="1320">
        <f t="shared" si="11"/>
        <v>16138</v>
      </c>
      <c r="P35" s="1315"/>
      <c r="Q35" s="1325"/>
      <c r="R35" s="1321"/>
      <c r="S35" s="1325">
        <v>45626</v>
      </c>
      <c r="T35" s="1315"/>
      <c r="U35" s="1322"/>
      <c r="V35" s="1322"/>
      <c r="W35" s="1322"/>
      <c r="Y35" s="1326"/>
      <c r="Z35" s="1326"/>
      <c r="AA35" s="1326"/>
      <c r="AB35" s="1325">
        <v>45626</v>
      </c>
      <c r="AC35" s="1326"/>
      <c r="AD35" s="1326"/>
      <c r="AE35" s="1324">
        <f t="shared" si="12"/>
        <v>0</v>
      </c>
      <c r="AF35" s="1324">
        <f t="shared" si="12"/>
        <v>0</v>
      </c>
      <c r="AG35" s="1324">
        <f t="shared" si="12"/>
        <v>0</v>
      </c>
      <c r="AH35" s="1324">
        <f t="shared" si="12"/>
        <v>0</v>
      </c>
      <c r="AI35" s="1324">
        <f t="shared" si="12"/>
        <v>0</v>
      </c>
      <c r="AJ35" s="1324">
        <f t="shared" si="12"/>
        <v>0</v>
      </c>
      <c r="AK35" s="1324">
        <f t="shared" si="12"/>
        <v>0</v>
      </c>
      <c r="AL35" s="1324">
        <f t="shared" si="12"/>
        <v>8.4931506849315067E-2</v>
      </c>
      <c r="AM35" s="1324">
        <f t="shared" si="12"/>
        <v>0</v>
      </c>
      <c r="AN35" s="1324">
        <f t="shared" si="12"/>
        <v>0</v>
      </c>
    </row>
    <row r="36" spans="1:40" ht="15" outlineLevel="1" x14ac:dyDescent="0.25">
      <c r="A36" s="1310">
        <v>23</v>
      </c>
      <c r="B36" s="1327" t="s">
        <v>850</v>
      </c>
      <c r="C36" s="1338"/>
      <c r="D36" s="1338"/>
      <c r="E36" s="1338"/>
      <c r="F36" s="1338"/>
      <c r="G36" s="1338"/>
      <c r="H36" s="1338"/>
      <c r="I36" s="1327">
        <v>33467</v>
      </c>
      <c r="J36" s="1330"/>
      <c r="K36" s="1330"/>
      <c r="L36" s="1330"/>
      <c r="M36" s="1290"/>
      <c r="N36" s="1319"/>
      <c r="O36" s="1320">
        <f t="shared" si="11"/>
        <v>33467</v>
      </c>
      <c r="P36" s="1315"/>
      <c r="Q36" s="1325"/>
      <c r="R36" s="1321"/>
      <c r="S36" s="1325">
        <v>45747</v>
      </c>
      <c r="T36" s="1315"/>
      <c r="U36" s="1322"/>
      <c r="V36" s="1322"/>
      <c r="W36" s="1322"/>
      <c r="Y36" s="1326"/>
      <c r="Z36" s="1326"/>
      <c r="AA36" s="1326"/>
      <c r="AB36" s="1325"/>
      <c r="AC36" s="1325">
        <v>45747</v>
      </c>
      <c r="AD36" s="1326"/>
      <c r="AE36" s="1324">
        <f t="shared" si="12"/>
        <v>0</v>
      </c>
      <c r="AF36" s="1324">
        <f t="shared" si="12"/>
        <v>0</v>
      </c>
      <c r="AG36" s="1324">
        <f t="shared" si="12"/>
        <v>0</v>
      </c>
      <c r="AH36" s="1324">
        <f t="shared" si="12"/>
        <v>0</v>
      </c>
      <c r="AI36" s="1324">
        <f t="shared" si="12"/>
        <v>0</v>
      </c>
      <c r="AJ36" s="1324">
        <f t="shared" si="12"/>
        <v>0</v>
      </c>
      <c r="AK36" s="1324">
        <f t="shared" si="12"/>
        <v>0</v>
      </c>
      <c r="AL36" s="1324">
        <f t="shared" si="12"/>
        <v>0</v>
      </c>
      <c r="AM36" s="1324">
        <f t="shared" si="12"/>
        <v>0.75342465753424659</v>
      </c>
      <c r="AN36" s="1324">
        <f t="shared" si="12"/>
        <v>0</v>
      </c>
    </row>
    <row r="37" spans="1:40" ht="15" x14ac:dyDescent="0.25">
      <c r="A37" s="1310">
        <v>24</v>
      </c>
      <c r="B37" s="1327" t="s">
        <v>851</v>
      </c>
      <c r="C37" s="1318"/>
      <c r="D37" s="1318"/>
      <c r="E37" s="1318"/>
      <c r="F37" s="1318"/>
      <c r="G37" s="1318"/>
      <c r="H37" s="1327">
        <v>34149</v>
      </c>
      <c r="K37" s="1330"/>
      <c r="L37" s="1330"/>
      <c r="M37" s="1330"/>
      <c r="N37" s="1319"/>
      <c r="O37" s="1320">
        <f t="shared" si="11"/>
        <v>34149</v>
      </c>
      <c r="P37" s="1315"/>
      <c r="Q37" s="1325"/>
      <c r="R37" s="1321"/>
      <c r="S37" s="1325">
        <v>45504</v>
      </c>
      <c r="T37" s="1315"/>
      <c r="U37" s="1326"/>
      <c r="V37" s="1322"/>
      <c r="W37" s="1322"/>
      <c r="X37" s="1322"/>
      <c r="Y37" s="1326"/>
      <c r="Z37" s="1326"/>
      <c r="AA37" s="1326"/>
      <c r="AB37" s="1325">
        <v>45504</v>
      </c>
      <c r="AC37" s="1326"/>
      <c r="AD37" s="1326"/>
      <c r="AE37" s="1324">
        <f t="shared" si="12"/>
        <v>0</v>
      </c>
      <c r="AF37" s="1324">
        <f t="shared" si="12"/>
        <v>0</v>
      </c>
      <c r="AG37" s="1324">
        <f t="shared" si="12"/>
        <v>0</v>
      </c>
      <c r="AH37" s="1324">
        <f t="shared" si="12"/>
        <v>0</v>
      </c>
      <c r="AI37" s="1324">
        <f t="shared" si="12"/>
        <v>0</v>
      </c>
      <c r="AJ37" s="1324">
        <f t="shared" si="12"/>
        <v>0</v>
      </c>
      <c r="AK37" s="1324">
        <f t="shared" si="12"/>
        <v>0</v>
      </c>
      <c r="AL37" s="1324">
        <f t="shared" si="12"/>
        <v>0.41917808219178082</v>
      </c>
      <c r="AM37" s="1324">
        <f t="shared" si="12"/>
        <v>0</v>
      </c>
      <c r="AN37" s="1324">
        <f t="shared" si="12"/>
        <v>0</v>
      </c>
    </row>
    <row r="38" spans="1:40" ht="15" x14ac:dyDescent="0.25">
      <c r="B38" s="1318"/>
      <c r="C38" s="1318"/>
      <c r="D38" s="1318"/>
      <c r="E38" s="1318"/>
      <c r="F38" s="1318"/>
      <c r="G38" s="1318"/>
      <c r="H38" s="1318"/>
      <c r="I38" s="1330"/>
      <c r="J38" s="1330"/>
      <c r="K38" s="1319"/>
      <c r="L38" s="1319"/>
      <c r="M38" s="1319"/>
      <c r="N38" s="1319"/>
      <c r="O38" s="1320"/>
      <c r="P38" s="1315"/>
      <c r="Q38" s="1325"/>
      <c r="R38" s="1321"/>
      <c r="S38" s="1325"/>
      <c r="T38" s="1315"/>
      <c r="U38" s="1326"/>
      <c r="V38" s="1322"/>
      <c r="W38" s="1322"/>
      <c r="X38" s="1322"/>
      <c r="Y38" s="1326"/>
      <c r="Z38" s="1326"/>
      <c r="AA38" s="1325"/>
      <c r="AB38" s="1326"/>
      <c r="AC38" s="1326"/>
      <c r="AD38" s="1326"/>
      <c r="AE38" s="1324"/>
      <c r="AF38" s="1324"/>
      <c r="AG38" s="1324"/>
      <c r="AH38" s="1324"/>
      <c r="AI38" s="1324"/>
      <c r="AJ38" s="1324"/>
      <c r="AK38" s="1324"/>
      <c r="AL38" s="1324"/>
      <c r="AM38" s="1324"/>
      <c r="AN38" s="1324"/>
    </row>
    <row r="39" spans="1:40" ht="15" x14ac:dyDescent="0.25">
      <c r="B39" s="1318"/>
      <c r="C39" s="1318"/>
      <c r="D39" s="1318"/>
      <c r="E39" s="1318"/>
      <c r="F39" s="1318"/>
      <c r="G39" s="1318"/>
      <c r="H39" s="1318"/>
      <c r="I39" s="1330"/>
      <c r="J39" s="1330"/>
      <c r="K39" s="1319"/>
      <c r="L39" s="1319"/>
      <c r="M39" s="1319"/>
      <c r="N39" s="1319"/>
      <c r="O39" s="1320"/>
      <c r="P39" s="1315"/>
      <c r="Q39" s="1325"/>
      <c r="R39" s="1321"/>
      <c r="S39" s="1325"/>
      <c r="T39" s="1315"/>
      <c r="U39" s="1326"/>
      <c r="V39" s="1322"/>
      <c r="W39" s="1322"/>
      <c r="X39" s="1322"/>
      <c r="Y39" s="1326"/>
      <c r="Z39" s="1326"/>
      <c r="AA39" s="1325"/>
      <c r="AB39" s="1325"/>
      <c r="AC39" s="1326"/>
      <c r="AD39" s="1326"/>
      <c r="AE39" s="1324"/>
      <c r="AF39" s="1324"/>
      <c r="AG39" s="1324"/>
      <c r="AH39" s="1324"/>
      <c r="AI39" s="1324"/>
      <c r="AJ39" s="1324"/>
      <c r="AK39" s="1324"/>
      <c r="AL39" s="1324"/>
      <c r="AM39" s="1324"/>
      <c r="AN39" s="1324"/>
    </row>
    <row r="40" spans="1:40" x14ac:dyDescent="0.2">
      <c r="B40" s="1339"/>
      <c r="C40" s="1315"/>
      <c r="D40" s="1315"/>
      <c r="E40" s="1315"/>
      <c r="F40" s="1315"/>
      <c r="G40" s="1315"/>
      <c r="H40" s="1315"/>
      <c r="I40" s="1315"/>
      <c r="J40" s="1315"/>
      <c r="K40" s="1315"/>
      <c r="L40" s="1315"/>
      <c r="M40" s="1315"/>
      <c r="N40" s="1315"/>
      <c r="O40" s="1315"/>
      <c r="P40" s="1315"/>
      <c r="Q40" s="1325"/>
      <c r="R40" s="1321"/>
      <c r="S40" s="1325"/>
      <c r="T40" s="1315"/>
      <c r="U40" s="1326"/>
      <c r="V40" s="1326"/>
      <c r="W40" s="1326"/>
      <c r="X40" s="1326"/>
      <c r="Y40" s="1326"/>
      <c r="Z40" s="1326"/>
      <c r="AA40" s="1326"/>
      <c r="AB40" s="1326"/>
      <c r="AC40" s="1326"/>
      <c r="AD40" s="1326"/>
      <c r="AE40" s="1324"/>
      <c r="AF40" s="1324"/>
      <c r="AG40" s="1324"/>
      <c r="AH40" s="1324"/>
      <c r="AI40" s="1324"/>
      <c r="AJ40" s="1324"/>
      <c r="AK40" s="1324"/>
      <c r="AL40" s="1324"/>
      <c r="AM40" s="1324"/>
      <c r="AN40" s="1324"/>
    </row>
    <row r="41" spans="1:40" s="1300" customFormat="1" ht="15" collapsed="1" x14ac:dyDescent="0.25">
      <c r="A41" s="1305"/>
      <c r="B41" s="1297" t="s">
        <v>490</v>
      </c>
      <c r="C41" s="1307">
        <f t="shared" ref="C41:N41" si="13">SUBTOTAL(9,C42:C55)</f>
        <v>0</v>
      </c>
      <c r="D41" s="1307">
        <f t="shared" si="13"/>
        <v>0</v>
      </c>
      <c r="E41" s="1307">
        <f>SUBTOTAL(9,E42:E55)</f>
        <v>0</v>
      </c>
      <c r="F41" s="1307">
        <f t="shared" si="13"/>
        <v>0</v>
      </c>
      <c r="G41" s="1307">
        <f t="shared" si="13"/>
        <v>0</v>
      </c>
      <c r="H41" s="1307">
        <f t="shared" si="13"/>
        <v>0</v>
      </c>
      <c r="I41" s="1307">
        <f t="shared" si="13"/>
        <v>76461</v>
      </c>
      <c r="J41" s="1307">
        <f t="shared" si="13"/>
        <v>40738</v>
      </c>
      <c r="K41" s="1307">
        <f t="shared" si="13"/>
        <v>0</v>
      </c>
      <c r="L41" s="1307">
        <f t="shared" si="13"/>
        <v>0</v>
      </c>
      <c r="M41" s="1307">
        <f t="shared" si="13"/>
        <v>0</v>
      </c>
      <c r="N41" s="1307">
        <f t="shared" si="13"/>
        <v>0</v>
      </c>
      <c r="O41" s="1308">
        <f t="shared" ref="O41" si="14">SUM(D41:N41)</f>
        <v>117199</v>
      </c>
      <c r="P41" s="1309"/>
      <c r="Q41" s="1340"/>
      <c r="S41" s="1340"/>
      <c r="T41" s="1309"/>
      <c r="AE41" s="1341">
        <f t="shared" ref="AE41:AN77" si="15">IF(ISBLANK(U41),,(DATE(AE$6,12,31)-U41)/365)</f>
        <v>0</v>
      </c>
      <c r="AF41" s="1341">
        <f t="shared" si="15"/>
        <v>0</v>
      </c>
      <c r="AG41" s="1341">
        <f t="shared" si="15"/>
        <v>0</v>
      </c>
      <c r="AH41" s="1341">
        <f t="shared" si="15"/>
        <v>0</v>
      </c>
      <c r="AI41" s="1341">
        <f t="shared" si="15"/>
        <v>0</v>
      </c>
      <c r="AJ41" s="1341">
        <f t="shared" si="15"/>
        <v>0</v>
      </c>
      <c r="AK41" s="1341">
        <f t="shared" si="15"/>
        <v>0</v>
      </c>
      <c r="AL41" s="1341">
        <f t="shared" si="15"/>
        <v>0</v>
      </c>
      <c r="AM41" s="1341">
        <f t="shared" si="15"/>
        <v>0</v>
      </c>
      <c r="AN41" s="1341">
        <f t="shared" si="15"/>
        <v>0</v>
      </c>
    </row>
    <row r="42" spans="1:40" ht="15" outlineLevel="1" x14ac:dyDescent="0.25">
      <c r="A42" s="1310">
        <v>25</v>
      </c>
      <c r="B42" s="1327" t="s">
        <v>852</v>
      </c>
      <c r="C42" s="1318"/>
      <c r="D42" s="1318"/>
      <c r="E42" s="1318"/>
      <c r="F42" s="1318"/>
      <c r="G42" s="1318"/>
      <c r="H42" s="1318"/>
      <c r="I42" s="1327">
        <v>15213</v>
      </c>
      <c r="K42" s="1330"/>
      <c r="L42" s="1330"/>
      <c r="M42" s="1330"/>
      <c r="N42" s="1330"/>
      <c r="O42" s="1320">
        <f t="shared" ref="O42:O54" si="16">SUM(C42:N42)</f>
        <v>15213</v>
      </c>
      <c r="P42" s="1315"/>
      <c r="Q42" s="1325"/>
      <c r="R42" s="1310"/>
      <c r="S42" s="1325">
        <v>45688</v>
      </c>
      <c r="T42" s="1315"/>
      <c r="U42" s="1326"/>
      <c r="V42" s="1326"/>
      <c r="W42" s="1322"/>
      <c r="Y42" s="1322"/>
      <c r="Z42" s="1326"/>
      <c r="AA42" s="1326"/>
      <c r="AB42" s="1326"/>
      <c r="AC42" s="1325">
        <v>45688</v>
      </c>
      <c r="AD42" s="1326"/>
      <c r="AE42" s="1324">
        <f t="shared" si="15"/>
        <v>0</v>
      </c>
      <c r="AF42" s="1324">
        <f t="shared" si="15"/>
        <v>0</v>
      </c>
      <c r="AG42" s="1324">
        <f t="shared" si="15"/>
        <v>0</v>
      </c>
      <c r="AH42" s="1324">
        <f t="shared" si="15"/>
        <v>0</v>
      </c>
      <c r="AI42" s="1324">
        <f t="shared" si="15"/>
        <v>0</v>
      </c>
      <c r="AJ42" s="1324">
        <f t="shared" si="15"/>
        <v>0</v>
      </c>
      <c r="AK42" s="1324">
        <f t="shared" si="15"/>
        <v>0</v>
      </c>
      <c r="AL42" s="1324">
        <f t="shared" si="15"/>
        <v>0</v>
      </c>
      <c r="AM42" s="1324">
        <f t="shared" si="15"/>
        <v>0.91506849315068495</v>
      </c>
      <c r="AN42" s="1324">
        <f t="shared" si="15"/>
        <v>0</v>
      </c>
    </row>
    <row r="43" spans="1:40" ht="15" outlineLevel="1" x14ac:dyDescent="0.25">
      <c r="A43" s="1310">
        <v>26</v>
      </c>
      <c r="B43" s="1327" t="s">
        <v>853</v>
      </c>
      <c r="C43" s="1318"/>
      <c r="D43" s="1318"/>
      <c r="E43" s="1318"/>
      <c r="F43" s="1318"/>
      <c r="G43" s="1318"/>
      <c r="I43" s="1327">
        <v>61248</v>
      </c>
      <c r="J43" s="1330"/>
      <c r="K43" s="1330"/>
      <c r="L43" s="1330"/>
      <c r="M43" s="1290"/>
      <c r="N43" s="1330"/>
      <c r="O43" s="1320">
        <f t="shared" si="16"/>
        <v>61248</v>
      </c>
      <c r="P43" s="1315"/>
      <c r="Q43" s="1325"/>
      <c r="R43" s="1310"/>
      <c r="S43" s="1325">
        <v>45716</v>
      </c>
      <c r="T43" s="1315"/>
      <c r="U43" s="1326"/>
      <c r="V43" s="1322"/>
      <c r="W43" s="1322"/>
      <c r="X43" s="1322"/>
      <c r="Y43" s="1322"/>
      <c r="Z43" s="1322"/>
      <c r="AA43" s="1326"/>
      <c r="AB43" s="1322"/>
      <c r="AC43" s="1325">
        <v>45716</v>
      </c>
      <c r="AD43" s="1326"/>
      <c r="AE43" s="1324">
        <f t="shared" si="15"/>
        <v>0</v>
      </c>
      <c r="AF43" s="1324">
        <f t="shared" si="15"/>
        <v>0</v>
      </c>
      <c r="AG43" s="1324">
        <f t="shared" si="15"/>
        <v>0</v>
      </c>
      <c r="AH43" s="1324">
        <f t="shared" si="15"/>
        <v>0</v>
      </c>
      <c r="AI43" s="1324">
        <f t="shared" si="15"/>
        <v>0</v>
      </c>
      <c r="AJ43" s="1324">
        <f t="shared" si="15"/>
        <v>0</v>
      </c>
      <c r="AK43" s="1324">
        <f t="shared" si="15"/>
        <v>0</v>
      </c>
      <c r="AL43" s="1324">
        <f t="shared" si="15"/>
        <v>0</v>
      </c>
      <c r="AM43" s="1324">
        <f t="shared" si="15"/>
        <v>0.83835616438356164</v>
      </c>
      <c r="AN43" s="1324">
        <f t="shared" si="15"/>
        <v>0</v>
      </c>
    </row>
    <row r="44" spans="1:40" ht="15" outlineLevel="1" x14ac:dyDescent="0.25">
      <c r="A44" s="1310">
        <v>27</v>
      </c>
      <c r="B44" s="1327" t="s">
        <v>854</v>
      </c>
      <c r="C44" s="1338"/>
      <c r="D44" s="1338"/>
      <c r="E44" s="1338"/>
      <c r="F44" s="1338"/>
      <c r="G44" s="1338"/>
      <c r="H44" s="1338"/>
      <c r="I44" s="1338"/>
      <c r="J44" s="1327">
        <v>40738</v>
      </c>
      <c r="K44" s="1330"/>
      <c r="L44" s="1330"/>
      <c r="M44" s="1330"/>
      <c r="N44" s="1330"/>
      <c r="O44" s="1320">
        <f t="shared" si="16"/>
        <v>40738</v>
      </c>
      <c r="P44" s="1315"/>
      <c r="Q44" s="1325"/>
      <c r="R44" s="1310"/>
      <c r="S44" s="1325">
        <v>45777</v>
      </c>
      <c r="T44" s="1315"/>
      <c r="U44" s="1326"/>
      <c r="V44" s="1322"/>
      <c r="W44" s="1322"/>
      <c r="X44" s="1322"/>
      <c r="Y44" s="1322"/>
      <c r="Z44" s="1322"/>
      <c r="AA44" s="1326"/>
      <c r="AB44" s="1326"/>
      <c r="AC44" s="1325">
        <v>45777</v>
      </c>
      <c r="AD44" s="1326"/>
      <c r="AE44" s="1324">
        <f t="shared" si="15"/>
        <v>0</v>
      </c>
      <c r="AF44" s="1324">
        <f t="shared" si="15"/>
        <v>0</v>
      </c>
      <c r="AG44" s="1324">
        <f t="shared" si="15"/>
        <v>0</v>
      </c>
      <c r="AH44" s="1324">
        <f t="shared" si="15"/>
        <v>0</v>
      </c>
      <c r="AI44" s="1324">
        <f t="shared" si="15"/>
        <v>0</v>
      </c>
      <c r="AJ44" s="1324">
        <f t="shared" si="15"/>
        <v>0</v>
      </c>
      <c r="AK44" s="1324">
        <f t="shared" si="15"/>
        <v>0</v>
      </c>
      <c r="AL44" s="1324">
        <f t="shared" si="15"/>
        <v>0</v>
      </c>
      <c r="AM44" s="1324">
        <f t="shared" si="15"/>
        <v>0.67123287671232879</v>
      </c>
      <c r="AN44" s="1324">
        <f t="shared" si="15"/>
        <v>0</v>
      </c>
    </row>
    <row r="45" spans="1:40" ht="15" outlineLevel="1" x14ac:dyDescent="0.25">
      <c r="B45" s="1318"/>
      <c r="C45" s="1318"/>
      <c r="D45" s="1318"/>
      <c r="E45" s="1318"/>
      <c r="F45" s="1318"/>
      <c r="G45" s="1318"/>
      <c r="H45" s="1318"/>
      <c r="I45" s="1318"/>
      <c r="J45" s="1318"/>
      <c r="K45" s="1330"/>
      <c r="L45" s="1330"/>
      <c r="M45" s="1330"/>
      <c r="N45" s="1330"/>
      <c r="O45" s="1320">
        <f t="shared" si="16"/>
        <v>0</v>
      </c>
      <c r="P45" s="1315"/>
      <c r="Q45" s="1325"/>
      <c r="R45" s="1310"/>
      <c r="S45" s="1325"/>
      <c r="T45" s="1315"/>
      <c r="U45" s="1326"/>
      <c r="V45" s="1326"/>
      <c r="W45" s="1342"/>
      <c r="X45" s="1322"/>
      <c r="Y45" s="1322"/>
      <c r="Z45" s="1322"/>
      <c r="AA45" s="1322"/>
      <c r="AB45" s="1326"/>
      <c r="AC45" s="1325"/>
      <c r="AD45" s="1326"/>
      <c r="AE45" s="1324"/>
      <c r="AF45" s="1324"/>
      <c r="AG45" s="1324"/>
      <c r="AH45" s="1324"/>
      <c r="AI45" s="1324"/>
      <c r="AJ45" s="1324"/>
      <c r="AK45" s="1324"/>
      <c r="AL45" s="1324"/>
      <c r="AM45" s="1324">
        <f t="shared" si="15"/>
        <v>0</v>
      </c>
      <c r="AN45" s="1324">
        <f t="shared" si="15"/>
        <v>0</v>
      </c>
    </row>
    <row r="46" spans="1:40" ht="15" outlineLevel="1" x14ac:dyDescent="0.25">
      <c r="B46" s="1338"/>
      <c r="C46" s="1338"/>
      <c r="D46" s="1338"/>
      <c r="E46" s="1338"/>
      <c r="F46" s="1338"/>
      <c r="G46" s="1338"/>
      <c r="H46" s="1338"/>
      <c r="I46" s="1318"/>
      <c r="J46" s="1318"/>
      <c r="K46" s="1330"/>
      <c r="L46" s="1330"/>
      <c r="M46" s="1330"/>
      <c r="N46" s="1330"/>
      <c r="O46" s="1320">
        <f t="shared" si="16"/>
        <v>0</v>
      </c>
      <c r="P46" s="1315"/>
      <c r="Q46" s="1325"/>
      <c r="R46" s="1310"/>
      <c r="S46" s="1325"/>
      <c r="T46" s="1315"/>
      <c r="U46" s="1326"/>
      <c r="V46" s="1322"/>
      <c r="W46" s="1342"/>
      <c r="X46" s="1326"/>
      <c r="Y46" s="1322"/>
      <c r="Z46" s="1322"/>
      <c r="AA46" s="1322"/>
      <c r="AB46" s="1326"/>
      <c r="AC46" s="1325"/>
      <c r="AD46" s="1326"/>
      <c r="AE46" s="1324"/>
      <c r="AF46" s="1324"/>
      <c r="AG46" s="1324"/>
      <c r="AH46" s="1324"/>
      <c r="AI46" s="1324"/>
      <c r="AJ46" s="1324"/>
      <c r="AK46" s="1324"/>
      <c r="AL46" s="1324"/>
      <c r="AM46" s="1324">
        <f t="shared" si="15"/>
        <v>0</v>
      </c>
      <c r="AN46" s="1324">
        <f t="shared" si="15"/>
        <v>0</v>
      </c>
    </row>
    <row r="47" spans="1:40" ht="15" outlineLevel="1" x14ac:dyDescent="0.25">
      <c r="B47" s="1338"/>
      <c r="C47" s="1338"/>
      <c r="D47" s="1338"/>
      <c r="E47" s="1343"/>
      <c r="F47" s="1330"/>
      <c r="G47" s="1330"/>
      <c r="H47" s="1330"/>
      <c r="I47" s="1318"/>
      <c r="J47" s="1318"/>
      <c r="K47" s="1330"/>
      <c r="L47" s="1330"/>
      <c r="M47" s="1330"/>
      <c r="N47" s="1330"/>
      <c r="O47" s="1320">
        <f t="shared" si="16"/>
        <v>0</v>
      </c>
      <c r="P47" s="1315"/>
      <c r="Q47" s="1325"/>
      <c r="R47" s="1310"/>
      <c r="S47" s="1325"/>
      <c r="T47" s="1315"/>
      <c r="U47" s="1326"/>
      <c r="V47" s="1326"/>
      <c r="W47" s="1342"/>
      <c r="X47" s="1322"/>
      <c r="Y47" s="1322"/>
      <c r="Z47" s="1322"/>
      <c r="AA47" s="1326"/>
      <c r="AB47" s="1326"/>
      <c r="AC47" s="1325"/>
      <c r="AD47" s="1326"/>
      <c r="AE47" s="1324"/>
      <c r="AF47" s="1324"/>
      <c r="AG47" s="1324"/>
      <c r="AH47" s="1324"/>
      <c r="AI47" s="1324"/>
      <c r="AJ47" s="1324"/>
      <c r="AK47" s="1324"/>
      <c r="AL47" s="1324"/>
      <c r="AM47" s="1324">
        <f t="shared" si="15"/>
        <v>0</v>
      </c>
      <c r="AN47" s="1324">
        <f t="shared" si="15"/>
        <v>0</v>
      </c>
    </row>
    <row r="48" spans="1:40" ht="15" outlineLevel="1" x14ac:dyDescent="0.25">
      <c r="B48" s="1338"/>
      <c r="C48" s="1338"/>
      <c r="D48" s="1338"/>
      <c r="E48" s="1338"/>
      <c r="F48" s="1338"/>
      <c r="G48" s="1338"/>
      <c r="H48" s="1338"/>
      <c r="I48" s="1318"/>
      <c r="J48" s="1318"/>
      <c r="K48" s="1344"/>
      <c r="L48" s="1344"/>
      <c r="M48" s="1344"/>
      <c r="N48" s="1344"/>
      <c r="O48" s="1320">
        <f t="shared" si="16"/>
        <v>0</v>
      </c>
      <c r="P48" s="1315"/>
      <c r="Q48" s="1325"/>
      <c r="R48" s="1310"/>
      <c r="S48" s="1325"/>
      <c r="T48" s="1315"/>
      <c r="U48" s="1326"/>
      <c r="V48" s="1326"/>
      <c r="W48" s="1342"/>
      <c r="X48" s="1326"/>
      <c r="Y48" s="1326"/>
      <c r="Z48" s="1326"/>
      <c r="AA48" s="1326"/>
      <c r="AB48" s="1326"/>
      <c r="AC48" s="1326"/>
      <c r="AD48" s="1325"/>
      <c r="AE48" s="1324"/>
      <c r="AF48" s="1324"/>
      <c r="AG48" s="1324"/>
      <c r="AH48" s="1324"/>
      <c r="AI48" s="1324"/>
      <c r="AJ48" s="1324"/>
      <c r="AK48" s="1324"/>
      <c r="AL48" s="1324"/>
      <c r="AM48" s="1324">
        <f t="shared" si="15"/>
        <v>0</v>
      </c>
      <c r="AN48" s="1324">
        <f t="shared" si="15"/>
        <v>0</v>
      </c>
    </row>
    <row r="49" spans="1:40" ht="15" outlineLevel="1" x14ac:dyDescent="0.25">
      <c r="B49" s="1338"/>
      <c r="C49" s="1338"/>
      <c r="D49" s="1338"/>
      <c r="E49" s="1338"/>
      <c r="F49" s="1338"/>
      <c r="G49" s="1338"/>
      <c r="H49" s="1338"/>
      <c r="I49" s="1318"/>
      <c r="J49" s="1318"/>
      <c r="K49" s="1330"/>
      <c r="L49" s="1330"/>
      <c r="M49" s="1330"/>
      <c r="N49" s="1330"/>
      <c r="O49" s="1320">
        <f t="shared" si="16"/>
        <v>0</v>
      </c>
      <c r="P49" s="1315"/>
      <c r="Q49" s="1325"/>
      <c r="R49" s="1321"/>
      <c r="S49" s="1325"/>
      <c r="T49" s="1315"/>
      <c r="U49" s="1326"/>
      <c r="V49" s="1322"/>
      <c r="W49" s="1322"/>
      <c r="X49" s="1322"/>
      <c r="Y49" s="1322"/>
      <c r="Z49" s="1322"/>
      <c r="AA49" s="1322"/>
      <c r="AB49" s="1326"/>
      <c r="AC49" s="1325"/>
      <c r="AD49" s="1325"/>
      <c r="AE49" s="1324"/>
      <c r="AF49" s="1324"/>
      <c r="AG49" s="1324"/>
      <c r="AH49" s="1324"/>
      <c r="AI49" s="1324"/>
      <c r="AJ49" s="1324"/>
      <c r="AK49" s="1324"/>
      <c r="AL49" s="1324"/>
      <c r="AM49" s="1324">
        <f t="shared" si="15"/>
        <v>0</v>
      </c>
      <c r="AN49" s="1324">
        <f t="shared" si="15"/>
        <v>0</v>
      </c>
    </row>
    <row r="50" spans="1:40" ht="15" outlineLevel="1" x14ac:dyDescent="0.25">
      <c r="B50" s="1338"/>
      <c r="C50" s="1338"/>
      <c r="D50" s="1338"/>
      <c r="E50" s="1338"/>
      <c r="F50" s="1338"/>
      <c r="G50" s="1338"/>
      <c r="H50" s="1338"/>
      <c r="I50" s="1318"/>
      <c r="J50" s="1318"/>
      <c r="K50" s="1318"/>
      <c r="L50" s="1318"/>
      <c r="M50" s="1343"/>
      <c r="N50" s="1343"/>
      <c r="O50" s="1320">
        <f t="shared" si="16"/>
        <v>0</v>
      </c>
      <c r="P50" s="1315"/>
      <c r="Q50" s="1325"/>
      <c r="R50" s="1321"/>
      <c r="S50" s="1325"/>
      <c r="T50" s="1315"/>
      <c r="U50" s="1326"/>
      <c r="V50" s="1322"/>
      <c r="W50" s="1322"/>
      <c r="X50" s="1322"/>
      <c r="Y50" s="1322"/>
      <c r="Z50" s="1322"/>
      <c r="AA50" s="1322"/>
      <c r="AB50" s="1326"/>
      <c r="AC50" s="1326"/>
      <c r="AD50" s="1326"/>
      <c r="AE50" s="1324"/>
      <c r="AF50" s="1324"/>
      <c r="AG50" s="1324"/>
      <c r="AH50" s="1324"/>
      <c r="AI50" s="1324"/>
      <c r="AJ50" s="1324"/>
      <c r="AK50" s="1324"/>
      <c r="AL50" s="1324"/>
      <c r="AM50" s="1324">
        <f t="shared" si="15"/>
        <v>0</v>
      </c>
      <c r="AN50" s="1324">
        <f t="shared" si="15"/>
        <v>0</v>
      </c>
    </row>
    <row r="51" spans="1:40" ht="15" outlineLevel="2" x14ac:dyDescent="0.25">
      <c r="B51" s="1338"/>
      <c r="C51" s="1338"/>
      <c r="D51" s="1338"/>
      <c r="E51" s="1338"/>
      <c r="F51" s="1338"/>
      <c r="G51" s="1338"/>
      <c r="H51" s="1338"/>
      <c r="I51" s="1318"/>
      <c r="J51" s="1318"/>
      <c r="K51" s="1318"/>
      <c r="L51" s="1318"/>
      <c r="M51" s="1330"/>
      <c r="N51" s="1330"/>
      <c r="O51" s="1320">
        <f t="shared" si="16"/>
        <v>0</v>
      </c>
      <c r="P51" s="1315"/>
      <c r="Q51" s="1325"/>
      <c r="R51" s="1321"/>
      <c r="S51" s="1325"/>
      <c r="T51" s="1315"/>
      <c r="U51" s="1326"/>
      <c r="V51" s="1322"/>
      <c r="W51" s="1322"/>
      <c r="X51" s="1322"/>
      <c r="Y51" s="1322"/>
      <c r="Z51" s="1322"/>
      <c r="AA51" s="1322"/>
      <c r="AB51" s="1326"/>
      <c r="AC51" s="1326"/>
      <c r="AD51" s="1326"/>
      <c r="AE51" s="1324"/>
      <c r="AF51" s="1324"/>
      <c r="AG51" s="1324"/>
      <c r="AH51" s="1324"/>
      <c r="AI51" s="1324"/>
      <c r="AJ51" s="1324"/>
      <c r="AK51" s="1324"/>
      <c r="AL51" s="1324"/>
      <c r="AM51" s="1324">
        <f t="shared" si="15"/>
        <v>0</v>
      </c>
      <c r="AN51" s="1324">
        <f t="shared" si="15"/>
        <v>0</v>
      </c>
    </row>
    <row r="52" spans="1:40" ht="15" outlineLevel="2" x14ac:dyDescent="0.25">
      <c r="B52" s="1338"/>
      <c r="C52" s="1338"/>
      <c r="D52" s="1338"/>
      <c r="E52" s="1338"/>
      <c r="F52" s="1338"/>
      <c r="G52" s="1344"/>
      <c r="H52" s="1344"/>
      <c r="I52" s="1318"/>
      <c r="J52" s="1318"/>
      <c r="K52" s="1318"/>
      <c r="L52" s="1318"/>
      <c r="M52" s="1344"/>
      <c r="N52" s="1344"/>
      <c r="O52" s="1320">
        <f t="shared" si="16"/>
        <v>0</v>
      </c>
      <c r="P52" s="1315"/>
      <c r="Q52" s="1325"/>
      <c r="R52" s="1321"/>
      <c r="S52" s="1325"/>
      <c r="T52" s="1315"/>
      <c r="U52" s="1326"/>
      <c r="V52" s="1326"/>
      <c r="W52" s="1342"/>
      <c r="X52" s="1326"/>
      <c r="Y52" s="1326"/>
      <c r="Z52" s="1326"/>
      <c r="AA52" s="1326"/>
      <c r="AB52" s="1326"/>
      <c r="AC52" s="1326"/>
      <c r="AD52" s="1326"/>
      <c r="AE52" s="1324"/>
      <c r="AF52" s="1324"/>
      <c r="AG52" s="1324"/>
      <c r="AH52" s="1324"/>
      <c r="AI52" s="1324"/>
      <c r="AJ52" s="1324"/>
      <c r="AK52" s="1324"/>
      <c r="AL52" s="1324"/>
      <c r="AM52" s="1324">
        <f t="shared" si="15"/>
        <v>0</v>
      </c>
      <c r="AN52" s="1324">
        <f t="shared" si="15"/>
        <v>0</v>
      </c>
    </row>
    <row r="53" spans="1:40" ht="15" outlineLevel="2" x14ac:dyDescent="0.25">
      <c r="B53" s="1338"/>
      <c r="C53" s="1338"/>
      <c r="D53" s="1338"/>
      <c r="E53" s="1338"/>
      <c r="F53" s="1338"/>
      <c r="G53" s="1330"/>
      <c r="H53" s="1330"/>
      <c r="I53" s="1330"/>
      <c r="J53" s="1330"/>
      <c r="K53" s="1318"/>
      <c r="L53" s="1318"/>
      <c r="M53" s="1318"/>
      <c r="N53" s="1318"/>
      <c r="O53" s="1320">
        <f t="shared" si="16"/>
        <v>0</v>
      </c>
      <c r="P53" s="1315"/>
      <c r="Q53" s="1325"/>
      <c r="R53" s="1321"/>
      <c r="S53" s="1325"/>
      <c r="T53" s="1315"/>
      <c r="U53" s="1326"/>
      <c r="V53" s="1326"/>
      <c r="W53" s="1342"/>
      <c r="X53" s="1326"/>
      <c r="Y53" s="1322"/>
      <c r="Z53" s="1322"/>
      <c r="AA53" s="1322"/>
      <c r="AB53" s="1322"/>
      <c r="AC53" s="1322"/>
      <c r="AD53" s="1322"/>
      <c r="AE53" s="1324">
        <f t="shared" si="15"/>
        <v>0</v>
      </c>
      <c r="AF53" s="1324">
        <f t="shared" si="15"/>
        <v>0</v>
      </c>
      <c r="AG53" s="1324">
        <f t="shared" si="15"/>
        <v>0</v>
      </c>
      <c r="AH53" s="1324">
        <f t="shared" si="15"/>
        <v>0</v>
      </c>
      <c r="AI53" s="1324">
        <f t="shared" si="15"/>
        <v>0</v>
      </c>
      <c r="AJ53" s="1324">
        <f t="shared" si="15"/>
        <v>0</v>
      </c>
      <c r="AK53" s="1324">
        <f t="shared" si="15"/>
        <v>0</v>
      </c>
      <c r="AL53" s="1324">
        <f t="shared" si="15"/>
        <v>0</v>
      </c>
      <c r="AM53" s="1324">
        <f t="shared" si="15"/>
        <v>0</v>
      </c>
      <c r="AN53" s="1324">
        <f t="shared" si="15"/>
        <v>0</v>
      </c>
    </row>
    <row r="54" spans="1:40" ht="15" outlineLevel="1" x14ac:dyDescent="0.25">
      <c r="B54" s="1338"/>
      <c r="C54" s="1338"/>
      <c r="D54" s="1338"/>
      <c r="E54" s="1338"/>
      <c r="F54" s="1338"/>
      <c r="G54" s="1338"/>
      <c r="H54" s="1344"/>
      <c r="I54" s="1344"/>
      <c r="J54" s="1344"/>
      <c r="K54" s="1344"/>
      <c r="L54" s="1344"/>
      <c r="M54" s="1344"/>
      <c r="N54" s="1344"/>
      <c r="O54" s="1320">
        <f t="shared" si="16"/>
        <v>0</v>
      </c>
      <c r="P54" s="1315"/>
      <c r="Q54" s="1325"/>
      <c r="R54" s="1321"/>
      <c r="S54" s="1325"/>
      <c r="T54" s="1315"/>
      <c r="U54" s="1326"/>
      <c r="V54" s="1326"/>
      <c r="W54" s="1342"/>
      <c r="X54" s="1326"/>
      <c r="Y54" s="1326"/>
      <c r="Z54" s="1326"/>
      <c r="AA54" s="1326"/>
      <c r="AB54" s="1326"/>
      <c r="AC54" s="1326"/>
      <c r="AD54" s="1326"/>
      <c r="AE54" s="1324">
        <f t="shared" si="15"/>
        <v>0</v>
      </c>
      <c r="AF54" s="1324">
        <f t="shared" si="15"/>
        <v>0</v>
      </c>
      <c r="AG54" s="1324">
        <f t="shared" si="15"/>
        <v>0</v>
      </c>
      <c r="AH54" s="1324">
        <f t="shared" si="15"/>
        <v>0</v>
      </c>
      <c r="AI54" s="1324">
        <f t="shared" si="15"/>
        <v>0</v>
      </c>
      <c r="AJ54" s="1324">
        <f t="shared" si="15"/>
        <v>0</v>
      </c>
      <c r="AK54" s="1324">
        <f t="shared" si="15"/>
        <v>0</v>
      </c>
      <c r="AL54" s="1324">
        <f t="shared" si="15"/>
        <v>0</v>
      </c>
      <c r="AM54" s="1324">
        <f t="shared" si="15"/>
        <v>0</v>
      </c>
      <c r="AN54" s="1324">
        <f t="shared" si="15"/>
        <v>0</v>
      </c>
    </row>
    <row r="55" spans="1:40" ht="15" outlineLevel="1" x14ac:dyDescent="0.25">
      <c r="B55" s="1339"/>
      <c r="C55" s="1320"/>
      <c r="D55" s="1320"/>
      <c r="E55" s="1320"/>
      <c r="F55" s="1320"/>
      <c r="G55" s="1320"/>
      <c r="H55" s="1320"/>
      <c r="I55" s="1320"/>
      <c r="J55" s="1320"/>
      <c r="K55" s="1320"/>
      <c r="L55" s="1320"/>
      <c r="M55" s="1320"/>
      <c r="N55" s="1320"/>
      <c r="O55" s="1320"/>
      <c r="P55" s="1315"/>
      <c r="Q55" s="1325">
        <v>78171</v>
      </c>
      <c r="R55" s="1321">
        <v>87861</v>
      </c>
      <c r="S55" s="1325"/>
      <c r="T55" s="1315"/>
      <c r="U55" s="1326"/>
      <c r="V55" s="1326"/>
      <c r="W55" s="1326"/>
      <c r="X55" s="1326"/>
      <c r="Y55" s="1326"/>
      <c r="Z55" s="1326"/>
      <c r="AA55" s="1326"/>
      <c r="AB55" s="1326"/>
      <c r="AC55" s="1326"/>
      <c r="AD55" s="1326"/>
      <c r="AE55" s="1324">
        <f t="shared" si="15"/>
        <v>0</v>
      </c>
      <c r="AF55" s="1324">
        <f t="shared" si="15"/>
        <v>0</v>
      </c>
      <c r="AG55" s="1324">
        <f t="shared" si="15"/>
        <v>0</v>
      </c>
      <c r="AH55" s="1324">
        <f t="shared" si="15"/>
        <v>0</v>
      </c>
      <c r="AI55" s="1324">
        <f t="shared" si="15"/>
        <v>0</v>
      </c>
      <c r="AJ55" s="1324">
        <f t="shared" si="15"/>
        <v>0</v>
      </c>
      <c r="AK55" s="1324">
        <f t="shared" si="15"/>
        <v>0</v>
      </c>
      <c r="AL55" s="1324">
        <f t="shared" si="15"/>
        <v>0</v>
      </c>
      <c r="AM55" s="1324">
        <f t="shared" si="15"/>
        <v>0</v>
      </c>
      <c r="AN55" s="1324">
        <f t="shared" si="15"/>
        <v>0</v>
      </c>
    </row>
    <row r="56" spans="1:40" s="1300" customFormat="1" ht="15" x14ac:dyDescent="0.25">
      <c r="A56" s="1305">
        <f>+A55+1</f>
        <v>1</v>
      </c>
      <c r="B56" s="1297" t="s">
        <v>704</v>
      </c>
      <c r="C56" s="1307">
        <f t="shared" ref="C56:N56" si="17">SUM(C57:C72)</f>
        <v>0</v>
      </c>
      <c r="D56" s="1307">
        <f t="shared" si="17"/>
        <v>0</v>
      </c>
      <c r="E56" s="1307">
        <f>SUM(E57:E72)</f>
        <v>0</v>
      </c>
      <c r="F56" s="1307">
        <f t="shared" si="17"/>
        <v>1330</v>
      </c>
      <c r="G56" s="1307">
        <f t="shared" si="17"/>
        <v>0</v>
      </c>
      <c r="H56" s="1307">
        <f t="shared" si="17"/>
        <v>0</v>
      </c>
      <c r="I56" s="1307">
        <f t="shared" si="17"/>
        <v>0</v>
      </c>
      <c r="J56" s="1307">
        <f t="shared" si="17"/>
        <v>0</v>
      </c>
      <c r="K56" s="1307">
        <f t="shared" si="17"/>
        <v>0</v>
      </c>
      <c r="L56" s="1307">
        <f t="shared" si="17"/>
        <v>0</v>
      </c>
      <c r="M56" s="1307">
        <f t="shared" si="17"/>
        <v>0</v>
      </c>
      <c r="N56" s="1307">
        <f t="shared" si="17"/>
        <v>0</v>
      </c>
      <c r="O56" s="1308">
        <f t="shared" ref="O56:O128" si="18">SUM(D56:N56)</f>
        <v>1330</v>
      </c>
      <c r="P56" s="1309"/>
      <c r="Q56" s="1340"/>
      <c r="S56" s="1340"/>
      <c r="T56" s="1309"/>
      <c r="AE56" s="1341">
        <f t="shared" si="15"/>
        <v>0</v>
      </c>
      <c r="AF56" s="1341">
        <f t="shared" si="15"/>
        <v>0</v>
      </c>
      <c r="AG56" s="1341">
        <f t="shared" si="15"/>
        <v>0</v>
      </c>
      <c r="AH56" s="1341">
        <f t="shared" si="15"/>
        <v>0</v>
      </c>
      <c r="AI56" s="1341">
        <f t="shared" si="15"/>
        <v>0</v>
      </c>
      <c r="AJ56" s="1341">
        <f t="shared" si="15"/>
        <v>0</v>
      </c>
      <c r="AK56" s="1341">
        <f t="shared" si="15"/>
        <v>0</v>
      </c>
      <c r="AL56" s="1341">
        <f t="shared" si="15"/>
        <v>0</v>
      </c>
      <c r="AM56" s="1341">
        <f t="shared" si="15"/>
        <v>0</v>
      </c>
      <c r="AN56" s="1341">
        <f t="shared" si="15"/>
        <v>0</v>
      </c>
    </row>
    <row r="57" spans="1:40" ht="15" outlineLevel="1" x14ac:dyDescent="0.25">
      <c r="A57" s="1310">
        <v>1</v>
      </c>
      <c r="B57" s="1345" t="s">
        <v>855</v>
      </c>
      <c r="C57" s="1346"/>
      <c r="D57" s="1347"/>
      <c r="E57" s="1347"/>
      <c r="F57" s="1348">
        <v>1330</v>
      </c>
      <c r="G57" s="1347"/>
      <c r="H57" s="1347"/>
      <c r="I57" s="1347"/>
      <c r="J57" s="1347"/>
      <c r="K57" s="1347"/>
      <c r="L57" s="1347"/>
      <c r="M57" s="1349"/>
      <c r="N57" s="1349"/>
      <c r="O57" s="1320">
        <f t="shared" ref="O57:O71" si="19">SUM(C57:N57)</f>
        <v>1330</v>
      </c>
      <c r="P57" s="1315"/>
      <c r="Q57" s="1325">
        <v>42339</v>
      </c>
      <c r="R57" s="1310" t="s">
        <v>695</v>
      </c>
      <c r="S57" s="1325">
        <v>44926</v>
      </c>
      <c r="T57" s="1315"/>
      <c r="U57" s="1326"/>
      <c r="V57" s="1322"/>
      <c r="W57" s="1322"/>
      <c r="X57" s="1326"/>
      <c r="Y57" s="1325"/>
      <c r="Z57" s="1325">
        <v>44925</v>
      </c>
      <c r="AA57" s="1326"/>
      <c r="AB57" s="1326"/>
      <c r="AC57" s="1326"/>
      <c r="AD57" s="1326"/>
      <c r="AE57" s="1324">
        <f t="shared" si="15"/>
        <v>0</v>
      </c>
      <c r="AF57" s="1324">
        <f t="shared" si="15"/>
        <v>0</v>
      </c>
      <c r="AG57" s="1324">
        <f t="shared" si="15"/>
        <v>0</v>
      </c>
      <c r="AH57" s="1324">
        <f t="shared" si="15"/>
        <v>0</v>
      </c>
      <c r="AI57" s="1324">
        <f t="shared" si="15"/>
        <v>0</v>
      </c>
      <c r="AJ57" s="1324">
        <f>IF(ISBLANK(Z57),,(DATE(AJ$6,12,31)-Z57)/365)</f>
        <v>2.7397260273972603E-3</v>
      </c>
      <c r="AK57" s="1324">
        <f t="shared" si="15"/>
        <v>0</v>
      </c>
      <c r="AL57" s="1324">
        <f t="shared" si="15"/>
        <v>0</v>
      </c>
      <c r="AM57" s="1324">
        <f t="shared" si="15"/>
        <v>0</v>
      </c>
      <c r="AN57" s="1324">
        <f t="shared" si="15"/>
        <v>0</v>
      </c>
    </row>
    <row r="58" spans="1:40" ht="15" outlineLevel="1" x14ac:dyDescent="0.25">
      <c r="B58" s="1339"/>
      <c r="C58" s="1350"/>
      <c r="D58" s="1349"/>
      <c r="E58" s="1347"/>
      <c r="F58" s="1290"/>
      <c r="G58" s="1290"/>
      <c r="H58" s="1347"/>
      <c r="I58" s="1347"/>
      <c r="J58" s="1347"/>
      <c r="K58" s="1347"/>
      <c r="L58" s="1347"/>
      <c r="M58" s="1349"/>
      <c r="N58" s="1349"/>
      <c r="O58" s="1320">
        <f t="shared" si="19"/>
        <v>0</v>
      </c>
      <c r="P58" s="1315"/>
      <c r="Q58" s="1325">
        <v>42339</v>
      </c>
      <c r="R58" s="1310" t="s">
        <v>695</v>
      </c>
      <c r="S58" s="1325"/>
      <c r="T58" s="1315"/>
      <c r="U58" s="1322"/>
      <c r="V58" s="1322"/>
      <c r="W58" s="1326"/>
      <c r="X58" s="1326"/>
      <c r="Y58" s="1325"/>
      <c r="Z58" s="1326"/>
      <c r="AA58" s="1326"/>
      <c r="AB58" s="1326"/>
      <c r="AC58" s="1326"/>
      <c r="AD58" s="1326"/>
      <c r="AE58" s="1324">
        <f t="shared" si="15"/>
        <v>0</v>
      </c>
      <c r="AF58" s="1324">
        <f t="shared" si="15"/>
        <v>0</v>
      </c>
      <c r="AG58" s="1324">
        <f t="shared" si="15"/>
        <v>0</v>
      </c>
      <c r="AH58" s="1324">
        <f t="shared" si="15"/>
        <v>0</v>
      </c>
      <c r="AI58" s="1324">
        <f t="shared" si="15"/>
        <v>0</v>
      </c>
      <c r="AJ58" s="1324">
        <f t="shared" si="15"/>
        <v>0</v>
      </c>
      <c r="AK58" s="1324">
        <f t="shared" si="15"/>
        <v>0</v>
      </c>
      <c r="AL58" s="1324">
        <f t="shared" si="15"/>
        <v>0</v>
      </c>
      <c r="AM58" s="1324">
        <f t="shared" si="15"/>
        <v>0</v>
      </c>
      <c r="AN58" s="1324">
        <f t="shared" si="15"/>
        <v>0</v>
      </c>
    </row>
    <row r="59" spans="1:40" ht="15" outlineLevel="1" x14ac:dyDescent="0.25">
      <c r="B59" s="1339"/>
      <c r="C59" s="1349"/>
      <c r="D59" s="1349"/>
      <c r="E59" s="1347"/>
      <c r="F59" s="1347"/>
      <c r="G59" s="1347"/>
      <c r="H59" s="1347"/>
      <c r="I59" s="1347"/>
      <c r="J59" s="1347"/>
      <c r="K59" s="1347"/>
      <c r="L59" s="1347"/>
      <c r="M59" s="1349"/>
      <c r="N59" s="1349"/>
      <c r="O59" s="1320">
        <f t="shared" si="19"/>
        <v>0</v>
      </c>
      <c r="P59" s="1315"/>
      <c r="Q59" s="1325">
        <v>42339</v>
      </c>
      <c r="R59" s="1310" t="s">
        <v>695</v>
      </c>
      <c r="S59" s="1325"/>
      <c r="T59" s="1315"/>
      <c r="U59" s="1322"/>
      <c r="V59" s="1322"/>
      <c r="W59" s="1322"/>
      <c r="X59" s="1322"/>
      <c r="Y59" s="1325"/>
      <c r="Z59" s="1326"/>
      <c r="AA59" s="1326"/>
      <c r="AB59" s="1326"/>
      <c r="AC59" s="1326"/>
      <c r="AD59" s="1326"/>
      <c r="AE59" s="1324">
        <f t="shared" si="15"/>
        <v>0</v>
      </c>
      <c r="AF59" s="1324">
        <f t="shared" si="15"/>
        <v>0</v>
      </c>
      <c r="AG59" s="1324">
        <f t="shared" si="15"/>
        <v>0</v>
      </c>
      <c r="AH59" s="1324">
        <f t="shared" si="15"/>
        <v>0</v>
      </c>
      <c r="AI59" s="1324">
        <f t="shared" si="15"/>
        <v>0</v>
      </c>
      <c r="AJ59" s="1324">
        <f t="shared" si="15"/>
        <v>0</v>
      </c>
      <c r="AK59" s="1324">
        <f t="shared" si="15"/>
        <v>0</v>
      </c>
      <c r="AL59" s="1324">
        <f t="shared" si="15"/>
        <v>0</v>
      </c>
      <c r="AM59" s="1324">
        <f t="shared" si="15"/>
        <v>0</v>
      </c>
      <c r="AN59" s="1324">
        <f t="shared" si="15"/>
        <v>0</v>
      </c>
    </row>
    <row r="60" spans="1:40" ht="15" outlineLevel="1" x14ac:dyDescent="0.25">
      <c r="B60" s="1339"/>
      <c r="C60" s="1350"/>
      <c r="D60" s="1349"/>
      <c r="E60" s="1347"/>
      <c r="F60" s="1347"/>
      <c r="G60" s="1347"/>
      <c r="H60" s="1347"/>
      <c r="I60" s="1347"/>
      <c r="J60" s="1347"/>
      <c r="K60" s="1347"/>
      <c r="L60" s="1347"/>
      <c r="M60" s="1349"/>
      <c r="N60" s="1349"/>
      <c r="O60" s="1320">
        <f t="shared" si="19"/>
        <v>0</v>
      </c>
      <c r="P60" s="1315"/>
      <c r="Q60" s="1325"/>
      <c r="R60" s="1310"/>
      <c r="S60" s="1325"/>
      <c r="T60" s="1315"/>
      <c r="U60" s="1326"/>
      <c r="V60" s="1326"/>
      <c r="W60" s="1326"/>
      <c r="X60" s="1326"/>
      <c r="Y60" s="1326"/>
      <c r="Z60" s="1325"/>
      <c r="AA60" s="1322"/>
      <c r="AB60" s="1326"/>
      <c r="AC60" s="1326"/>
      <c r="AD60" s="1326"/>
      <c r="AE60" s="1324">
        <f t="shared" si="15"/>
        <v>0</v>
      </c>
      <c r="AF60" s="1324">
        <f t="shared" si="15"/>
        <v>0</v>
      </c>
      <c r="AG60" s="1324">
        <f t="shared" si="15"/>
        <v>0</v>
      </c>
      <c r="AH60" s="1324">
        <f t="shared" si="15"/>
        <v>0</v>
      </c>
      <c r="AI60" s="1324">
        <f t="shared" si="15"/>
        <v>0</v>
      </c>
      <c r="AJ60" s="1324">
        <f t="shared" si="15"/>
        <v>0</v>
      </c>
      <c r="AK60" s="1324">
        <f t="shared" si="15"/>
        <v>0</v>
      </c>
      <c r="AL60" s="1324">
        <f t="shared" si="15"/>
        <v>0</v>
      </c>
      <c r="AM60" s="1324">
        <f t="shared" si="15"/>
        <v>0</v>
      </c>
      <c r="AN60" s="1324">
        <f t="shared" si="15"/>
        <v>0</v>
      </c>
    </row>
    <row r="61" spans="1:40" ht="15" outlineLevel="1" x14ac:dyDescent="0.25">
      <c r="B61" s="1339"/>
      <c r="C61" s="1350"/>
      <c r="D61" s="1349"/>
      <c r="E61" s="1347"/>
      <c r="F61" s="1347"/>
      <c r="G61" s="1347"/>
      <c r="H61" s="1347"/>
      <c r="I61" s="1347"/>
      <c r="J61" s="1347"/>
      <c r="K61" s="1347"/>
      <c r="L61" s="1347"/>
      <c r="M61" s="1349"/>
      <c r="N61" s="1349"/>
      <c r="O61" s="1320">
        <f t="shared" si="19"/>
        <v>0</v>
      </c>
      <c r="P61" s="1315"/>
      <c r="Q61" s="1325">
        <v>42339</v>
      </c>
      <c r="R61" s="1310" t="s">
        <v>695</v>
      </c>
      <c r="S61" s="1325"/>
      <c r="T61" s="1315"/>
      <c r="U61" s="1326"/>
      <c r="V61" s="1322"/>
      <c r="W61" s="1322"/>
      <c r="X61" s="1326"/>
      <c r="Y61" s="1326"/>
      <c r="Z61" s="1325"/>
      <c r="AA61" s="1326"/>
      <c r="AB61" s="1326"/>
      <c r="AC61" s="1326"/>
      <c r="AD61" s="1326"/>
      <c r="AE61" s="1324">
        <f t="shared" si="15"/>
        <v>0</v>
      </c>
      <c r="AF61" s="1324">
        <f t="shared" si="15"/>
        <v>0</v>
      </c>
      <c r="AG61" s="1324">
        <f t="shared" si="15"/>
        <v>0</v>
      </c>
      <c r="AH61" s="1324">
        <f t="shared" si="15"/>
        <v>0</v>
      </c>
      <c r="AI61" s="1324">
        <f t="shared" si="15"/>
        <v>0</v>
      </c>
      <c r="AJ61" s="1324">
        <f t="shared" si="15"/>
        <v>0</v>
      </c>
      <c r="AK61" s="1324">
        <f t="shared" si="15"/>
        <v>0</v>
      </c>
      <c r="AL61" s="1324">
        <f t="shared" si="15"/>
        <v>0</v>
      </c>
      <c r="AM61" s="1324">
        <f t="shared" si="15"/>
        <v>0</v>
      </c>
      <c r="AN61" s="1324">
        <f t="shared" si="15"/>
        <v>0</v>
      </c>
    </row>
    <row r="62" spans="1:40" ht="15" outlineLevel="1" x14ac:dyDescent="0.25">
      <c r="B62" s="1339"/>
      <c r="C62" s="1350"/>
      <c r="D62" s="1349"/>
      <c r="E62" s="1347"/>
      <c r="F62" s="1347"/>
      <c r="G62" s="1347"/>
      <c r="H62" s="1347"/>
      <c r="I62" s="1347"/>
      <c r="J62" s="1347"/>
      <c r="K62" s="1347"/>
      <c r="L62" s="1347"/>
      <c r="M62" s="1349"/>
      <c r="N62" s="1349"/>
      <c r="O62" s="1320">
        <f t="shared" si="19"/>
        <v>0</v>
      </c>
      <c r="P62" s="1315"/>
      <c r="Q62" s="1325">
        <v>42339</v>
      </c>
      <c r="R62" s="1310" t="s">
        <v>695</v>
      </c>
      <c r="S62" s="1325"/>
      <c r="T62" s="1315"/>
      <c r="U62" s="1322"/>
      <c r="V62" s="1322"/>
      <c r="W62" s="1326"/>
      <c r="X62" s="1326"/>
      <c r="Y62" s="1326"/>
      <c r="Z62" s="1325"/>
      <c r="AA62" s="1326"/>
      <c r="AB62" s="1326"/>
      <c r="AC62" s="1326"/>
      <c r="AD62" s="1326"/>
      <c r="AE62" s="1324">
        <f t="shared" si="15"/>
        <v>0</v>
      </c>
      <c r="AF62" s="1324">
        <f t="shared" si="15"/>
        <v>0</v>
      </c>
      <c r="AG62" s="1324">
        <f t="shared" si="15"/>
        <v>0</v>
      </c>
      <c r="AH62" s="1324">
        <f t="shared" si="15"/>
        <v>0</v>
      </c>
      <c r="AI62" s="1324">
        <f t="shared" si="15"/>
        <v>0</v>
      </c>
      <c r="AJ62" s="1324">
        <f t="shared" si="15"/>
        <v>0</v>
      </c>
      <c r="AK62" s="1324">
        <f t="shared" si="15"/>
        <v>0</v>
      </c>
      <c r="AL62" s="1324">
        <f t="shared" si="15"/>
        <v>0</v>
      </c>
      <c r="AM62" s="1324">
        <f t="shared" si="15"/>
        <v>0</v>
      </c>
      <c r="AN62" s="1324">
        <f t="shared" si="15"/>
        <v>0</v>
      </c>
    </row>
    <row r="63" spans="1:40" ht="15" outlineLevel="1" x14ac:dyDescent="0.25">
      <c r="B63" s="1339"/>
      <c r="C63" s="1350"/>
      <c r="D63" s="1349"/>
      <c r="E63" s="1347"/>
      <c r="F63" s="1347"/>
      <c r="G63" s="1347"/>
      <c r="H63" s="1347"/>
      <c r="I63" s="1347"/>
      <c r="J63" s="1347"/>
      <c r="K63" s="1347"/>
      <c r="L63" s="1347"/>
      <c r="M63" s="1349"/>
      <c r="N63" s="1349"/>
      <c r="O63" s="1320">
        <f t="shared" si="19"/>
        <v>0</v>
      </c>
      <c r="P63" s="1315"/>
      <c r="Q63" s="1325">
        <v>41974</v>
      </c>
      <c r="R63" s="1310" t="s">
        <v>695</v>
      </c>
      <c r="S63" s="1325"/>
      <c r="T63" s="1315"/>
      <c r="U63" s="1322"/>
      <c r="V63" s="1322"/>
      <c r="W63" s="1326"/>
      <c r="X63" s="1326"/>
      <c r="Y63" s="1326"/>
      <c r="Z63" s="1325"/>
      <c r="AA63" s="1326"/>
      <c r="AB63" s="1326"/>
      <c r="AC63" s="1326"/>
      <c r="AD63" s="1326"/>
      <c r="AE63" s="1324">
        <f t="shared" si="15"/>
        <v>0</v>
      </c>
      <c r="AF63" s="1324">
        <f t="shared" si="15"/>
        <v>0</v>
      </c>
      <c r="AG63" s="1324">
        <f t="shared" si="15"/>
        <v>0</v>
      </c>
      <c r="AH63" s="1324">
        <f t="shared" si="15"/>
        <v>0</v>
      </c>
      <c r="AI63" s="1324">
        <f t="shared" si="15"/>
        <v>0</v>
      </c>
      <c r="AJ63" s="1324">
        <f t="shared" si="15"/>
        <v>0</v>
      </c>
      <c r="AK63" s="1324">
        <f t="shared" si="15"/>
        <v>0</v>
      </c>
      <c r="AL63" s="1324">
        <f t="shared" si="15"/>
        <v>0</v>
      </c>
      <c r="AM63" s="1324">
        <f t="shared" si="15"/>
        <v>0</v>
      </c>
      <c r="AN63" s="1324">
        <f t="shared" si="15"/>
        <v>0</v>
      </c>
    </row>
    <row r="64" spans="1:40" ht="15" outlineLevel="1" x14ac:dyDescent="0.25">
      <c r="B64" s="1339"/>
      <c r="C64" s="1350"/>
      <c r="D64" s="1349"/>
      <c r="E64" s="1347"/>
      <c r="F64" s="1347"/>
      <c r="G64" s="1347"/>
      <c r="H64" s="1347"/>
      <c r="I64" s="1347"/>
      <c r="J64" s="1347"/>
      <c r="K64" s="1347"/>
      <c r="L64" s="1347"/>
      <c r="M64" s="1349"/>
      <c r="N64" s="1349"/>
      <c r="O64" s="1320">
        <f t="shared" si="19"/>
        <v>0</v>
      </c>
      <c r="P64" s="1315"/>
      <c r="Q64" s="1351" t="s">
        <v>705</v>
      </c>
      <c r="R64" s="1321"/>
      <c r="S64" s="1325"/>
      <c r="T64" s="1315"/>
      <c r="U64" s="1326"/>
      <c r="V64" s="1322"/>
      <c r="W64" s="1326"/>
      <c r="X64" s="1326"/>
      <c r="Y64" s="1326"/>
      <c r="Z64" s="1326"/>
      <c r="AA64" s="1325"/>
      <c r="AB64" s="1326"/>
      <c r="AC64" s="1326"/>
      <c r="AD64" s="1326"/>
      <c r="AE64" s="1324">
        <f t="shared" si="15"/>
        <v>0</v>
      </c>
      <c r="AF64" s="1324">
        <f t="shared" si="15"/>
        <v>0</v>
      </c>
      <c r="AG64" s="1324">
        <f t="shared" si="15"/>
        <v>0</v>
      </c>
      <c r="AH64" s="1324">
        <f t="shared" si="15"/>
        <v>0</v>
      </c>
      <c r="AI64" s="1324">
        <f t="shared" si="15"/>
        <v>0</v>
      </c>
      <c r="AJ64" s="1324">
        <f t="shared" si="15"/>
        <v>0</v>
      </c>
      <c r="AK64" s="1324">
        <f t="shared" si="15"/>
        <v>0</v>
      </c>
      <c r="AL64" s="1324">
        <f t="shared" si="15"/>
        <v>0</v>
      </c>
      <c r="AM64" s="1324">
        <f t="shared" si="15"/>
        <v>0</v>
      </c>
      <c r="AN64" s="1324">
        <f t="shared" si="15"/>
        <v>0</v>
      </c>
    </row>
    <row r="65" spans="1:40" ht="15" outlineLevel="1" x14ac:dyDescent="0.25">
      <c r="B65" s="1339"/>
      <c r="C65" s="1350"/>
      <c r="D65" s="1349"/>
      <c r="E65" s="1347"/>
      <c r="F65" s="1347"/>
      <c r="G65" s="1347"/>
      <c r="H65" s="1347"/>
      <c r="I65" s="1347"/>
      <c r="J65" s="1347"/>
      <c r="K65" s="1347"/>
      <c r="L65" s="1347"/>
      <c r="M65" s="1349"/>
      <c r="N65" s="1349"/>
      <c r="O65" s="1320">
        <f t="shared" si="19"/>
        <v>0</v>
      </c>
      <c r="P65" s="1315"/>
      <c r="Q65" s="1325">
        <v>42339</v>
      </c>
      <c r="R65" s="1310" t="s">
        <v>695</v>
      </c>
      <c r="S65" s="1325"/>
      <c r="T65" s="1315"/>
      <c r="U65" s="1326"/>
      <c r="V65" s="1322"/>
      <c r="W65" s="1322"/>
      <c r="X65" s="1322"/>
      <c r="Y65" s="1325"/>
      <c r="Z65" s="1326"/>
      <c r="AA65" s="1326"/>
      <c r="AB65" s="1326"/>
      <c r="AC65" s="1326"/>
      <c r="AD65" s="1326"/>
      <c r="AE65" s="1324">
        <f t="shared" si="15"/>
        <v>0</v>
      </c>
      <c r="AF65" s="1324">
        <f t="shared" si="15"/>
        <v>0</v>
      </c>
      <c r="AG65" s="1324">
        <f t="shared" si="15"/>
        <v>0</v>
      </c>
      <c r="AH65" s="1324">
        <f t="shared" si="15"/>
        <v>0</v>
      </c>
      <c r="AI65" s="1324">
        <f t="shared" si="15"/>
        <v>0</v>
      </c>
      <c r="AJ65" s="1324">
        <f t="shared" si="15"/>
        <v>0</v>
      </c>
      <c r="AK65" s="1324">
        <f t="shared" si="15"/>
        <v>0</v>
      </c>
      <c r="AL65" s="1324">
        <f t="shared" si="15"/>
        <v>0</v>
      </c>
      <c r="AM65" s="1324">
        <f t="shared" si="15"/>
        <v>0</v>
      </c>
      <c r="AN65" s="1324">
        <f t="shared" si="15"/>
        <v>0</v>
      </c>
    </row>
    <row r="66" spans="1:40" ht="15" outlineLevel="1" x14ac:dyDescent="0.25">
      <c r="B66" s="1339"/>
      <c r="C66" s="1350"/>
      <c r="D66" s="1349"/>
      <c r="E66" s="1347"/>
      <c r="F66" s="1347"/>
      <c r="G66" s="1347"/>
      <c r="H66" s="1347"/>
      <c r="I66" s="1347"/>
      <c r="J66" s="1347"/>
      <c r="K66" s="1347"/>
      <c r="L66" s="1347"/>
      <c r="M66" s="1349"/>
      <c r="N66" s="1349"/>
      <c r="O66" s="1320">
        <f t="shared" si="19"/>
        <v>0</v>
      </c>
      <c r="P66" s="1315"/>
      <c r="Q66" s="1325">
        <v>42339</v>
      </c>
      <c r="R66" s="1310" t="s">
        <v>695</v>
      </c>
      <c r="S66" s="1325"/>
      <c r="T66" s="1315"/>
      <c r="U66" s="1326"/>
      <c r="V66" s="1322"/>
      <c r="W66" s="1322"/>
      <c r="X66" s="1326"/>
      <c r="Y66" s="1326"/>
      <c r="Z66" s="1326"/>
      <c r="AA66" s="1325"/>
      <c r="AB66" s="1326"/>
      <c r="AC66" s="1326"/>
      <c r="AD66" s="1326"/>
      <c r="AE66" s="1324">
        <f t="shared" si="15"/>
        <v>0</v>
      </c>
      <c r="AF66" s="1324">
        <f t="shared" si="15"/>
        <v>0</v>
      </c>
      <c r="AG66" s="1324">
        <f t="shared" si="15"/>
        <v>0</v>
      </c>
      <c r="AH66" s="1324">
        <f t="shared" si="15"/>
        <v>0</v>
      </c>
      <c r="AI66" s="1324">
        <f t="shared" si="15"/>
        <v>0</v>
      </c>
      <c r="AJ66" s="1324">
        <f t="shared" si="15"/>
        <v>0</v>
      </c>
      <c r="AK66" s="1324">
        <f t="shared" si="15"/>
        <v>0</v>
      </c>
      <c r="AL66" s="1324">
        <f t="shared" si="15"/>
        <v>0</v>
      </c>
      <c r="AM66" s="1324">
        <f t="shared" si="15"/>
        <v>0</v>
      </c>
      <c r="AN66" s="1324">
        <f t="shared" si="15"/>
        <v>0</v>
      </c>
    </row>
    <row r="67" spans="1:40" ht="15" outlineLevel="1" x14ac:dyDescent="0.25">
      <c r="B67" s="1339"/>
      <c r="C67" s="1350"/>
      <c r="D67" s="1349"/>
      <c r="E67" s="1347"/>
      <c r="F67" s="1347"/>
      <c r="G67" s="1347"/>
      <c r="H67" s="1347"/>
      <c r="I67" s="1347"/>
      <c r="J67" s="1347"/>
      <c r="K67" s="1347"/>
      <c r="L67" s="1347"/>
      <c r="M67" s="1349"/>
      <c r="N67" s="1349"/>
      <c r="O67" s="1320">
        <f t="shared" si="19"/>
        <v>0</v>
      </c>
      <c r="P67" s="1315"/>
      <c r="Q67" s="1325"/>
      <c r="R67" s="1310"/>
      <c r="S67" s="1325"/>
      <c r="T67" s="1315"/>
      <c r="U67" s="1326"/>
      <c r="V67" s="1322"/>
      <c r="W67" s="1322"/>
      <c r="X67" s="1326"/>
      <c r="Y67" s="1326"/>
      <c r="Z67" s="1326"/>
      <c r="AA67" s="1326"/>
      <c r="AB67" s="1326"/>
      <c r="AC67" s="1326"/>
      <c r="AD67" s="1326"/>
      <c r="AE67" s="1324"/>
      <c r="AF67" s="1324"/>
      <c r="AG67" s="1324"/>
      <c r="AH67" s="1324"/>
      <c r="AI67" s="1324"/>
      <c r="AJ67" s="1324"/>
      <c r="AK67" s="1324"/>
      <c r="AL67" s="1324"/>
      <c r="AM67" s="1324"/>
      <c r="AN67" s="1324"/>
    </row>
    <row r="68" spans="1:40" ht="15" outlineLevel="1" x14ac:dyDescent="0.25">
      <c r="B68" s="1339"/>
      <c r="C68" s="1350"/>
      <c r="D68" s="1349"/>
      <c r="E68" s="1347"/>
      <c r="F68" s="1347"/>
      <c r="G68" s="1347"/>
      <c r="H68" s="1347"/>
      <c r="I68" s="1347"/>
      <c r="J68" s="1347"/>
      <c r="K68" s="1347"/>
      <c r="L68" s="1347"/>
      <c r="M68" s="1349"/>
      <c r="N68" s="1349"/>
      <c r="O68" s="1320">
        <f t="shared" si="19"/>
        <v>0</v>
      </c>
      <c r="P68" s="1315"/>
      <c r="Q68" s="1325"/>
      <c r="R68" s="1310"/>
      <c r="S68" s="1325"/>
      <c r="T68" s="1315"/>
      <c r="U68" s="1326"/>
      <c r="V68" s="1322"/>
      <c r="W68" s="1322"/>
      <c r="X68" s="1326"/>
      <c r="Y68" s="1326"/>
      <c r="Z68" s="1325"/>
      <c r="AA68" s="1326"/>
      <c r="AB68" s="1326"/>
      <c r="AC68" s="1326"/>
      <c r="AD68" s="1326"/>
      <c r="AE68" s="1324"/>
      <c r="AF68" s="1324"/>
      <c r="AG68" s="1324"/>
      <c r="AH68" s="1324"/>
      <c r="AI68" s="1324"/>
      <c r="AJ68" s="1324"/>
      <c r="AK68" s="1324"/>
      <c r="AL68" s="1324"/>
      <c r="AM68" s="1324"/>
      <c r="AN68" s="1324"/>
    </row>
    <row r="69" spans="1:40" ht="15" outlineLevel="1" x14ac:dyDescent="0.25">
      <c r="B69" s="1339"/>
      <c r="C69" s="1350"/>
      <c r="D69" s="1349"/>
      <c r="E69" s="1347"/>
      <c r="F69" s="1347"/>
      <c r="G69" s="1347"/>
      <c r="H69" s="1347"/>
      <c r="I69" s="1347"/>
      <c r="J69" s="1347"/>
      <c r="K69" s="1347"/>
      <c r="L69" s="1347"/>
      <c r="M69" s="1349"/>
      <c r="N69" s="1349"/>
      <c r="O69" s="1320">
        <f t="shared" si="19"/>
        <v>0</v>
      </c>
      <c r="P69" s="1315"/>
      <c r="Q69" s="1325"/>
      <c r="R69" s="1310"/>
      <c r="S69" s="1325"/>
      <c r="T69" s="1315"/>
      <c r="U69" s="1326"/>
      <c r="V69" s="1322"/>
      <c r="W69" s="1322"/>
      <c r="X69" s="1326"/>
      <c r="Y69" s="1326"/>
      <c r="Z69" s="1325"/>
      <c r="AA69" s="1326"/>
      <c r="AB69" s="1326"/>
      <c r="AC69" s="1326"/>
      <c r="AD69" s="1326"/>
      <c r="AE69" s="1324"/>
      <c r="AF69" s="1324"/>
      <c r="AG69" s="1324"/>
      <c r="AH69" s="1324"/>
      <c r="AI69" s="1324"/>
      <c r="AJ69" s="1324"/>
      <c r="AK69" s="1324"/>
      <c r="AL69" s="1324"/>
      <c r="AM69" s="1324"/>
      <c r="AN69" s="1324"/>
    </row>
    <row r="70" spans="1:40" ht="15" outlineLevel="1" x14ac:dyDescent="0.25">
      <c r="B70" s="1339"/>
      <c r="C70" s="1350"/>
      <c r="D70" s="1349"/>
      <c r="E70" s="1347"/>
      <c r="F70" s="1347"/>
      <c r="G70" s="1347"/>
      <c r="H70" s="1347"/>
      <c r="I70" s="1347"/>
      <c r="J70" s="1347"/>
      <c r="K70" s="1347"/>
      <c r="L70" s="1347"/>
      <c r="M70" s="1349"/>
      <c r="N70" s="1349"/>
      <c r="O70" s="1320">
        <f t="shared" si="19"/>
        <v>0</v>
      </c>
      <c r="P70" s="1315"/>
      <c r="Q70" s="1325"/>
      <c r="R70" s="1310"/>
      <c r="S70" s="1325"/>
      <c r="T70" s="1315"/>
      <c r="U70" s="1326"/>
      <c r="V70" s="1322"/>
      <c r="W70" s="1322"/>
      <c r="X70" s="1326"/>
      <c r="Y70" s="1325"/>
      <c r="Z70" s="1326"/>
      <c r="AA70" s="1326"/>
      <c r="AB70" s="1326"/>
      <c r="AC70" s="1326"/>
      <c r="AD70" s="1326"/>
      <c r="AE70" s="1324"/>
      <c r="AF70" s="1324"/>
      <c r="AG70" s="1324"/>
      <c r="AH70" s="1324"/>
      <c r="AI70" s="1324"/>
      <c r="AJ70" s="1324"/>
      <c r="AK70" s="1324"/>
      <c r="AL70" s="1324"/>
      <c r="AM70" s="1324"/>
      <c r="AN70" s="1324"/>
    </row>
    <row r="71" spans="1:40" ht="15" outlineLevel="1" x14ac:dyDescent="0.25">
      <c r="B71" s="1339"/>
      <c r="C71" s="1350"/>
      <c r="D71" s="1349"/>
      <c r="E71" s="1347"/>
      <c r="F71" s="1347"/>
      <c r="G71" s="1347"/>
      <c r="H71" s="1347"/>
      <c r="I71" s="1347"/>
      <c r="J71" s="1347"/>
      <c r="K71" s="1347"/>
      <c r="L71" s="1347"/>
      <c r="M71" s="1349"/>
      <c r="N71" s="1349"/>
      <c r="O71" s="1320">
        <f t="shared" si="19"/>
        <v>0</v>
      </c>
      <c r="P71" s="1315"/>
      <c r="Q71" s="1325"/>
      <c r="R71" s="1310"/>
      <c r="S71" s="1325"/>
      <c r="T71" s="1315"/>
      <c r="U71" s="1326"/>
      <c r="V71" s="1322"/>
      <c r="W71" s="1322"/>
      <c r="X71" s="1326"/>
      <c r="Y71" s="1326"/>
      <c r="Z71" s="1326"/>
      <c r="AA71" s="1325"/>
      <c r="AB71" s="1326"/>
      <c r="AC71" s="1326"/>
      <c r="AD71" s="1326"/>
      <c r="AE71" s="1324"/>
      <c r="AF71" s="1324"/>
      <c r="AG71" s="1324"/>
      <c r="AH71" s="1324"/>
      <c r="AI71" s="1324"/>
      <c r="AJ71" s="1324"/>
      <c r="AK71" s="1324"/>
      <c r="AL71" s="1324"/>
      <c r="AM71" s="1324"/>
      <c r="AN71" s="1324"/>
    </row>
    <row r="72" spans="1:40" ht="15" outlineLevel="1" x14ac:dyDescent="0.25">
      <c r="A72" s="1310">
        <f>+A66+1</f>
        <v>1</v>
      </c>
      <c r="B72" s="1352"/>
      <c r="C72" s="1353"/>
      <c r="D72" s="1353"/>
      <c r="E72" s="1353"/>
      <c r="F72" s="1353"/>
      <c r="G72" s="1353"/>
      <c r="H72" s="1353"/>
      <c r="I72" s="1353"/>
      <c r="J72" s="1353"/>
      <c r="K72" s="1353"/>
      <c r="L72" s="1353"/>
      <c r="M72" s="1353"/>
      <c r="N72" s="1353"/>
      <c r="O72" s="1315">
        <f t="shared" si="18"/>
        <v>0</v>
      </c>
      <c r="P72" s="1315"/>
      <c r="Q72" s="1325">
        <v>42887</v>
      </c>
      <c r="R72" s="1310"/>
      <c r="S72" s="1325"/>
      <c r="T72" s="1315"/>
      <c r="U72" s="1326"/>
      <c r="V72" s="1326"/>
      <c r="W72" s="1326"/>
      <c r="X72" s="1326"/>
      <c r="Y72" s="1326"/>
      <c r="Z72" s="1326"/>
      <c r="AA72" s="1326"/>
      <c r="AB72" s="1326"/>
      <c r="AC72" s="1326"/>
      <c r="AD72" s="1326"/>
      <c r="AE72" s="1324">
        <f t="shared" si="15"/>
        <v>0</v>
      </c>
      <c r="AF72" s="1324">
        <f t="shared" si="15"/>
        <v>0</v>
      </c>
      <c r="AG72" s="1324">
        <f t="shared" si="15"/>
        <v>0</v>
      </c>
      <c r="AH72" s="1324">
        <f t="shared" si="15"/>
        <v>0</v>
      </c>
      <c r="AI72" s="1324">
        <f t="shared" si="15"/>
        <v>0</v>
      </c>
      <c r="AJ72" s="1324">
        <f t="shared" si="15"/>
        <v>0</v>
      </c>
      <c r="AK72" s="1324">
        <f t="shared" si="15"/>
        <v>0</v>
      </c>
      <c r="AL72" s="1324">
        <f t="shared" si="15"/>
        <v>0</v>
      </c>
      <c r="AM72" s="1324">
        <f t="shared" si="15"/>
        <v>0</v>
      </c>
      <c r="AN72" s="1324">
        <f t="shared" si="15"/>
        <v>0</v>
      </c>
    </row>
    <row r="73" spans="1:40" s="1300" customFormat="1" ht="15" x14ac:dyDescent="0.25">
      <c r="A73" s="1305">
        <f>+A72+1</f>
        <v>2</v>
      </c>
      <c r="B73" s="1297" t="s">
        <v>491</v>
      </c>
      <c r="C73" s="1308">
        <f t="shared" ref="C73:N73" si="20">C74+C122</f>
        <v>0</v>
      </c>
      <c r="D73" s="1308">
        <f t="shared" si="20"/>
        <v>0</v>
      </c>
      <c r="E73" s="1308">
        <f t="shared" si="20"/>
        <v>0</v>
      </c>
      <c r="F73" s="1308">
        <f t="shared" si="20"/>
        <v>0</v>
      </c>
      <c r="G73" s="1308">
        <f t="shared" si="20"/>
        <v>6800</v>
      </c>
      <c r="H73" s="1308">
        <f t="shared" si="20"/>
        <v>1500</v>
      </c>
      <c r="I73" s="1308">
        <f t="shared" si="20"/>
        <v>0</v>
      </c>
      <c r="J73" s="1308">
        <f t="shared" si="20"/>
        <v>0</v>
      </c>
      <c r="K73" s="1308">
        <f t="shared" si="20"/>
        <v>0</v>
      </c>
      <c r="L73" s="1308">
        <f t="shared" si="20"/>
        <v>0</v>
      </c>
      <c r="M73" s="1308">
        <f t="shared" si="20"/>
        <v>0</v>
      </c>
      <c r="N73" s="1308">
        <f t="shared" si="20"/>
        <v>0</v>
      </c>
      <c r="O73" s="1308">
        <f t="shared" si="18"/>
        <v>8300</v>
      </c>
      <c r="P73" s="1309"/>
      <c r="Q73" s="1340"/>
      <c r="S73" s="1340"/>
      <c r="T73" s="1309"/>
      <c r="AE73" s="1341">
        <f t="shared" si="15"/>
        <v>0</v>
      </c>
      <c r="AF73" s="1341">
        <f t="shared" si="15"/>
        <v>0</v>
      </c>
      <c r="AG73" s="1341">
        <f t="shared" si="15"/>
        <v>0</v>
      </c>
      <c r="AH73" s="1341">
        <f t="shared" si="15"/>
        <v>0</v>
      </c>
      <c r="AI73" s="1341">
        <f t="shared" si="15"/>
        <v>0</v>
      </c>
      <c r="AJ73" s="1341">
        <f t="shared" si="15"/>
        <v>0</v>
      </c>
      <c r="AK73" s="1341">
        <f t="shared" si="15"/>
        <v>0</v>
      </c>
      <c r="AL73" s="1341">
        <f t="shared" si="15"/>
        <v>0</v>
      </c>
      <c r="AM73" s="1341">
        <f t="shared" si="15"/>
        <v>0</v>
      </c>
      <c r="AN73" s="1341">
        <f t="shared" si="15"/>
        <v>0</v>
      </c>
    </row>
    <row r="74" spans="1:40" s="1359" customFormat="1" ht="15" x14ac:dyDescent="0.25">
      <c r="A74" s="1354">
        <f t="shared" ref="A74" si="21">+A73+1</f>
        <v>3</v>
      </c>
      <c r="B74" s="1355" t="s">
        <v>706</v>
      </c>
      <c r="C74" s="1356">
        <f t="shared" ref="C74:D74" si="22">+SUM(C75:C121)</f>
        <v>0</v>
      </c>
      <c r="D74" s="1356">
        <f t="shared" si="22"/>
        <v>0</v>
      </c>
      <c r="E74" s="1356">
        <f>+SUM(E75:E121)</f>
        <v>0</v>
      </c>
      <c r="F74" s="1356">
        <f t="shared" ref="F74:I74" si="23">+SUM(F75:F121)</f>
        <v>0</v>
      </c>
      <c r="G74" s="1356">
        <f t="shared" si="23"/>
        <v>6800</v>
      </c>
      <c r="H74" s="1356">
        <f t="shared" si="23"/>
        <v>1500</v>
      </c>
      <c r="I74" s="1356">
        <f t="shared" si="23"/>
        <v>0</v>
      </c>
      <c r="J74" s="1356">
        <f t="shared" ref="J74:N74" si="24">+SUM(J75:J108)</f>
        <v>0</v>
      </c>
      <c r="K74" s="1356">
        <f t="shared" si="24"/>
        <v>0</v>
      </c>
      <c r="L74" s="1356">
        <f t="shared" si="24"/>
        <v>0</v>
      </c>
      <c r="M74" s="1356">
        <f t="shared" si="24"/>
        <v>0</v>
      </c>
      <c r="N74" s="1356">
        <f t="shared" si="24"/>
        <v>0</v>
      </c>
      <c r="O74" s="1356">
        <f t="shared" si="18"/>
        <v>8300</v>
      </c>
      <c r="P74" s="1357"/>
      <c r="Q74" s="1358"/>
      <c r="S74" s="1358"/>
      <c r="T74" s="1357"/>
      <c r="U74" s="1360"/>
      <c r="V74" s="1360"/>
      <c r="W74" s="1360"/>
      <c r="X74" s="1360"/>
      <c r="Y74" s="1360"/>
      <c r="Z74" s="1360"/>
      <c r="AA74" s="1360"/>
      <c r="AB74" s="1360"/>
      <c r="AC74" s="1360"/>
      <c r="AD74" s="1360"/>
      <c r="AE74" s="1361">
        <f t="shared" si="15"/>
        <v>0</v>
      </c>
      <c r="AF74" s="1361">
        <f t="shared" si="15"/>
        <v>0</v>
      </c>
      <c r="AG74" s="1361">
        <f t="shared" si="15"/>
        <v>0</v>
      </c>
      <c r="AH74" s="1361">
        <f t="shared" si="15"/>
        <v>0</v>
      </c>
      <c r="AI74" s="1361">
        <f t="shared" si="15"/>
        <v>0</v>
      </c>
      <c r="AJ74" s="1361">
        <f t="shared" si="15"/>
        <v>0</v>
      </c>
      <c r="AK74" s="1361">
        <f t="shared" si="15"/>
        <v>0</v>
      </c>
      <c r="AL74" s="1361">
        <f t="shared" si="15"/>
        <v>0</v>
      </c>
      <c r="AM74" s="1361">
        <f t="shared" si="15"/>
        <v>0</v>
      </c>
      <c r="AN74" s="1361">
        <f t="shared" si="15"/>
        <v>0</v>
      </c>
    </row>
    <row r="75" spans="1:40" ht="15" outlineLevel="1" x14ac:dyDescent="0.25">
      <c r="A75" s="1310">
        <v>12</v>
      </c>
      <c r="B75" s="1345" t="s">
        <v>711</v>
      </c>
      <c r="C75" s="1319"/>
      <c r="D75" s="1319"/>
      <c r="E75" s="1330"/>
      <c r="F75" s="1330"/>
      <c r="G75" s="1362">
        <v>1800</v>
      </c>
      <c r="H75" s="1330"/>
      <c r="I75" s="1330"/>
      <c r="J75" s="1330"/>
      <c r="K75" s="1330"/>
      <c r="L75" s="1319"/>
      <c r="M75" s="1319"/>
      <c r="N75" s="1319"/>
      <c r="O75" s="1320">
        <f t="shared" ref="O75:O121" si="25">SUM(C75:N75)</f>
        <v>1800</v>
      </c>
      <c r="P75" s="1315"/>
      <c r="Q75" s="1325">
        <v>42714</v>
      </c>
      <c r="R75" s="1310"/>
      <c r="S75" s="1325">
        <v>45291</v>
      </c>
      <c r="T75" s="1315"/>
      <c r="U75" s="1322"/>
      <c r="V75" s="1322"/>
      <c r="W75" s="1326"/>
      <c r="X75" s="1326"/>
      <c r="Y75" s="1326"/>
      <c r="Z75" s="1325"/>
      <c r="AA75" s="1325">
        <v>45291</v>
      </c>
      <c r="AB75" s="1326"/>
      <c r="AC75" s="1326"/>
      <c r="AD75" s="1326"/>
      <c r="AE75" s="1324">
        <f t="shared" si="15"/>
        <v>0</v>
      </c>
      <c r="AF75" s="1324">
        <f t="shared" si="15"/>
        <v>0</v>
      </c>
      <c r="AG75" s="1324">
        <f t="shared" si="15"/>
        <v>0</v>
      </c>
      <c r="AH75" s="1324">
        <f t="shared" si="15"/>
        <v>0</v>
      </c>
      <c r="AI75" s="1324">
        <f t="shared" si="15"/>
        <v>0</v>
      </c>
      <c r="AJ75" s="1324">
        <f t="shared" si="15"/>
        <v>0</v>
      </c>
      <c r="AK75" s="1324">
        <f t="shared" si="15"/>
        <v>0</v>
      </c>
      <c r="AL75" s="1324">
        <f t="shared" si="15"/>
        <v>0</v>
      </c>
      <c r="AM75" s="1324">
        <f t="shared" si="15"/>
        <v>0</v>
      </c>
      <c r="AN75" s="1324">
        <f t="shared" si="15"/>
        <v>0</v>
      </c>
    </row>
    <row r="76" spans="1:40" ht="15" outlineLevel="1" x14ac:dyDescent="0.25">
      <c r="A76" s="1310">
        <v>13</v>
      </c>
      <c r="B76" s="1345" t="s">
        <v>712</v>
      </c>
      <c r="C76" s="1319"/>
      <c r="D76" s="1319"/>
      <c r="E76" s="1330"/>
      <c r="F76" s="1330"/>
      <c r="G76" s="1330"/>
      <c r="H76" s="1362">
        <v>1500</v>
      </c>
      <c r="I76" s="1330"/>
      <c r="J76" s="1330"/>
      <c r="K76" s="1330"/>
      <c r="L76" s="1319"/>
      <c r="M76" s="1319"/>
      <c r="N76" s="1319"/>
      <c r="O76" s="1320">
        <f t="shared" si="25"/>
        <v>1500</v>
      </c>
      <c r="P76" s="1315"/>
      <c r="Q76" s="1325">
        <v>42825</v>
      </c>
      <c r="R76" s="1310" t="s">
        <v>695</v>
      </c>
      <c r="S76" s="1325">
        <v>45657</v>
      </c>
      <c r="T76" s="1315"/>
      <c r="U76" s="1326"/>
      <c r="V76" s="1322"/>
      <c r="W76" s="1322"/>
      <c r="X76" s="1326"/>
      <c r="Y76" s="1325"/>
      <c r="Z76" s="1326"/>
      <c r="AA76" s="1325"/>
      <c r="AB76" s="1325">
        <v>45657</v>
      </c>
      <c r="AC76" s="1326"/>
      <c r="AD76" s="1326"/>
      <c r="AE76" s="1324">
        <f t="shared" si="15"/>
        <v>0</v>
      </c>
      <c r="AF76" s="1324">
        <f t="shared" si="15"/>
        <v>0</v>
      </c>
      <c r="AG76" s="1324">
        <f t="shared" si="15"/>
        <v>0</v>
      </c>
      <c r="AH76" s="1324">
        <f t="shared" si="15"/>
        <v>0</v>
      </c>
      <c r="AI76" s="1324">
        <f t="shared" si="15"/>
        <v>0</v>
      </c>
      <c r="AJ76" s="1324">
        <f t="shared" si="15"/>
        <v>0</v>
      </c>
      <c r="AK76" s="1324">
        <f t="shared" si="15"/>
        <v>0</v>
      </c>
      <c r="AL76" s="1324">
        <f t="shared" si="15"/>
        <v>0</v>
      </c>
      <c r="AM76" s="1324">
        <f t="shared" si="15"/>
        <v>0</v>
      </c>
      <c r="AN76" s="1324">
        <f t="shared" si="15"/>
        <v>0</v>
      </c>
    </row>
    <row r="77" spans="1:40" ht="15" outlineLevel="1" x14ac:dyDescent="0.25">
      <c r="A77" s="1310">
        <v>16</v>
      </c>
      <c r="B77" s="1345" t="s">
        <v>713</v>
      </c>
      <c r="C77" s="1319"/>
      <c r="D77" s="1319"/>
      <c r="E77" s="1330"/>
      <c r="F77" s="1330"/>
      <c r="G77" s="1362">
        <v>5000</v>
      </c>
      <c r="H77" s="1330"/>
      <c r="I77" s="1330"/>
      <c r="J77" s="1330"/>
      <c r="K77" s="1330"/>
      <c r="L77" s="1319"/>
      <c r="M77" s="1319"/>
      <c r="N77" s="1319"/>
      <c r="O77" s="1320">
        <f t="shared" si="25"/>
        <v>5000</v>
      </c>
      <c r="P77" s="1315"/>
      <c r="Q77" s="1325">
        <v>43101</v>
      </c>
      <c r="R77" s="1310" t="s">
        <v>695</v>
      </c>
      <c r="S77" s="1325">
        <v>45291</v>
      </c>
      <c r="T77" s="1315"/>
      <c r="U77" s="1326"/>
      <c r="V77" s="1322"/>
      <c r="W77" s="1322"/>
      <c r="X77" s="1326"/>
      <c r="Y77" s="1325"/>
      <c r="Z77" s="1326"/>
      <c r="AA77" s="1325">
        <v>45291</v>
      </c>
      <c r="AB77" s="1326"/>
      <c r="AC77" s="1326"/>
      <c r="AD77" s="1326"/>
      <c r="AE77" s="1324">
        <f t="shared" si="15"/>
        <v>0</v>
      </c>
      <c r="AF77" s="1324">
        <f t="shared" si="15"/>
        <v>0</v>
      </c>
      <c r="AG77" s="1324">
        <f t="shared" si="15"/>
        <v>0</v>
      </c>
      <c r="AH77" s="1324">
        <f t="shared" si="15"/>
        <v>0</v>
      </c>
      <c r="AI77" s="1324">
        <f t="shared" si="15"/>
        <v>0</v>
      </c>
      <c r="AJ77" s="1324">
        <f t="shared" si="15"/>
        <v>0</v>
      </c>
      <c r="AK77" s="1324">
        <f t="shared" si="15"/>
        <v>0</v>
      </c>
      <c r="AL77" s="1324">
        <f t="shared" si="15"/>
        <v>0</v>
      </c>
      <c r="AM77" s="1324">
        <f t="shared" si="15"/>
        <v>0</v>
      </c>
      <c r="AN77" s="1324">
        <f t="shared" si="15"/>
        <v>0</v>
      </c>
    </row>
    <row r="78" spans="1:40" ht="15" outlineLevel="1" x14ac:dyDescent="0.25">
      <c r="B78" s="1339"/>
      <c r="C78" s="1363"/>
      <c r="D78" s="1319"/>
      <c r="E78" s="1330"/>
      <c r="F78" s="1290"/>
      <c r="G78" s="1330"/>
      <c r="H78" s="1330"/>
      <c r="I78" s="1330"/>
      <c r="J78" s="1330"/>
      <c r="K78" s="1330"/>
      <c r="L78" s="1319"/>
      <c r="M78" s="1319"/>
      <c r="N78" s="1319"/>
      <c r="O78" s="1320">
        <f t="shared" si="25"/>
        <v>0</v>
      </c>
      <c r="P78" s="1315"/>
      <c r="Q78" s="1325">
        <v>43101</v>
      </c>
      <c r="R78" s="1310" t="s">
        <v>695</v>
      </c>
      <c r="S78" s="1325"/>
      <c r="T78" s="1315"/>
      <c r="U78" s="1326"/>
      <c r="W78" s="1322"/>
      <c r="X78" s="1326"/>
      <c r="Y78" s="1326"/>
      <c r="Z78" s="1326"/>
      <c r="AA78" s="1325"/>
      <c r="AB78" s="1326"/>
      <c r="AC78" s="1326"/>
      <c r="AD78" s="1326"/>
      <c r="AE78" s="1324">
        <f t="shared" ref="AE78:AN103" si="26">IF(ISBLANK(U78),,(DATE(AE$6,12,31)-U78)/365)</f>
        <v>0</v>
      </c>
      <c r="AF78" s="1324">
        <f t="shared" si="26"/>
        <v>0</v>
      </c>
      <c r="AG78" s="1324">
        <f t="shared" si="26"/>
        <v>0</v>
      </c>
      <c r="AH78" s="1324">
        <f t="shared" si="26"/>
        <v>0</v>
      </c>
      <c r="AI78" s="1324">
        <f t="shared" si="26"/>
        <v>0</v>
      </c>
      <c r="AJ78" s="1324">
        <f t="shared" si="26"/>
        <v>0</v>
      </c>
      <c r="AK78" s="1324">
        <f t="shared" si="26"/>
        <v>0</v>
      </c>
      <c r="AL78" s="1324">
        <f t="shared" si="26"/>
        <v>0</v>
      </c>
      <c r="AM78" s="1324">
        <f t="shared" si="26"/>
        <v>0</v>
      </c>
      <c r="AN78" s="1324">
        <f t="shared" si="26"/>
        <v>0</v>
      </c>
    </row>
    <row r="79" spans="1:40" ht="15" outlineLevel="1" x14ac:dyDescent="0.25">
      <c r="B79" s="1339"/>
      <c r="C79" s="1319"/>
      <c r="D79" s="1319"/>
      <c r="E79" s="1330"/>
      <c r="F79" s="1330"/>
      <c r="G79" s="1330"/>
      <c r="H79" s="1330"/>
      <c r="I79" s="1330"/>
      <c r="J79" s="1330"/>
      <c r="K79" s="1330"/>
      <c r="L79" s="1319"/>
      <c r="M79" s="1319"/>
      <c r="N79" s="1319"/>
      <c r="O79" s="1320">
        <f t="shared" si="25"/>
        <v>0</v>
      </c>
      <c r="P79" s="1315"/>
      <c r="Q79" s="1325">
        <v>42674</v>
      </c>
      <c r="R79" s="1310" t="s">
        <v>695</v>
      </c>
      <c r="S79" s="1325"/>
      <c r="T79" s="1315"/>
      <c r="U79" s="1325"/>
      <c r="V79" s="1326"/>
      <c r="W79" s="1326"/>
      <c r="X79" s="1326"/>
      <c r="Y79" s="1326"/>
      <c r="Z79" s="1326"/>
      <c r="AA79" s="1325"/>
      <c r="AB79" s="1326"/>
      <c r="AC79" s="1326"/>
      <c r="AD79" s="1326"/>
      <c r="AE79" s="1324">
        <f>IF(ISBLANK(U79),,(DATE(AE$6,12,31)-U79)/365)</f>
        <v>0</v>
      </c>
      <c r="AF79" s="1324">
        <f t="shared" si="26"/>
        <v>0</v>
      </c>
      <c r="AG79" s="1324">
        <f t="shared" si="26"/>
        <v>0</v>
      </c>
      <c r="AH79" s="1324">
        <f t="shared" si="26"/>
        <v>0</v>
      </c>
      <c r="AI79" s="1324">
        <f t="shared" si="26"/>
        <v>0</v>
      </c>
      <c r="AJ79" s="1324">
        <f t="shared" si="26"/>
        <v>0</v>
      </c>
      <c r="AK79" s="1324">
        <f t="shared" si="26"/>
        <v>0</v>
      </c>
      <c r="AL79" s="1324">
        <f t="shared" si="26"/>
        <v>0</v>
      </c>
      <c r="AM79" s="1324">
        <f t="shared" si="26"/>
        <v>0</v>
      </c>
      <c r="AN79" s="1324">
        <f t="shared" si="26"/>
        <v>0</v>
      </c>
    </row>
    <row r="80" spans="1:40" ht="15" outlineLevel="1" x14ac:dyDescent="0.25">
      <c r="B80" s="1339"/>
      <c r="C80" s="1319"/>
      <c r="D80" s="1319"/>
      <c r="E80" s="1330"/>
      <c r="F80" s="1290"/>
      <c r="G80" s="1330"/>
      <c r="H80" s="1330"/>
      <c r="I80" s="1330"/>
      <c r="J80" s="1330"/>
      <c r="K80" s="1330"/>
      <c r="L80" s="1319"/>
      <c r="M80" s="1319"/>
      <c r="N80" s="1319"/>
      <c r="O80" s="1320">
        <f t="shared" si="25"/>
        <v>0</v>
      </c>
      <c r="P80" s="1315"/>
      <c r="Q80" s="1325">
        <v>41893</v>
      </c>
      <c r="R80" s="1310" t="s">
        <v>695</v>
      </c>
      <c r="S80" s="1325"/>
      <c r="T80" s="1315"/>
      <c r="U80" s="1325"/>
      <c r="W80" s="1326"/>
      <c r="X80" s="1326"/>
      <c r="Y80" s="1326"/>
      <c r="Z80" s="1326"/>
      <c r="AA80" s="1325"/>
      <c r="AB80" s="1326"/>
      <c r="AC80" s="1326"/>
      <c r="AD80" s="1326"/>
      <c r="AE80" s="1324">
        <f t="shared" si="26"/>
        <v>0</v>
      </c>
      <c r="AF80" s="1324">
        <f t="shared" si="26"/>
        <v>0</v>
      </c>
      <c r="AG80" s="1324">
        <f t="shared" si="26"/>
        <v>0</v>
      </c>
      <c r="AH80" s="1324">
        <f t="shared" si="26"/>
        <v>0</v>
      </c>
      <c r="AI80" s="1324">
        <f t="shared" si="26"/>
        <v>0</v>
      </c>
      <c r="AJ80" s="1324">
        <f t="shared" si="26"/>
        <v>0</v>
      </c>
      <c r="AK80" s="1324">
        <f t="shared" si="26"/>
        <v>0</v>
      </c>
      <c r="AL80" s="1324">
        <f t="shared" si="26"/>
        <v>0</v>
      </c>
      <c r="AM80" s="1324">
        <f t="shared" si="26"/>
        <v>0</v>
      </c>
      <c r="AN80" s="1324">
        <f t="shared" si="26"/>
        <v>0</v>
      </c>
    </row>
    <row r="81" spans="2:40" ht="15" outlineLevel="1" x14ac:dyDescent="0.25">
      <c r="B81" s="1339"/>
      <c r="C81" s="1319"/>
      <c r="D81" s="1319"/>
      <c r="E81" s="1330"/>
      <c r="F81" s="1343"/>
      <c r="G81" s="1330"/>
      <c r="H81" s="1330"/>
      <c r="I81" s="1330"/>
      <c r="J81" s="1330"/>
      <c r="K81" s="1330"/>
      <c r="L81" s="1319"/>
      <c r="M81" s="1319"/>
      <c r="N81" s="1319"/>
      <c r="O81" s="1320">
        <f t="shared" si="25"/>
        <v>0</v>
      </c>
      <c r="P81" s="1315"/>
      <c r="Q81" s="1325">
        <v>42032</v>
      </c>
      <c r="R81" s="1310" t="s">
        <v>695</v>
      </c>
      <c r="S81" s="1325"/>
      <c r="T81" s="1315"/>
      <c r="U81" s="1326"/>
      <c r="V81" s="1322"/>
      <c r="W81" s="1326"/>
      <c r="X81" s="1326"/>
      <c r="Y81" s="1325"/>
      <c r="Z81" s="1326"/>
      <c r="AA81" s="1326"/>
      <c r="AB81" s="1326"/>
      <c r="AC81" s="1326"/>
      <c r="AD81" s="1326"/>
      <c r="AE81" s="1324">
        <f t="shared" si="26"/>
        <v>0</v>
      </c>
      <c r="AF81" s="1324">
        <f t="shared" si="26"/>
        <v>0</v>
      </c>
      <c r="AG81" s="1324">
        <f t="shared" si="26"/>
        <v>0</v>
      </c>
      <c r="AH81" s="1324">
        <f t="shared" si="26"/>
        <v>0</v>
      </c>
      <c r="AI81" s="1324">
        <f t="shared" si="26"/>
        <v>0</v>
      </c>
      <c r="AJ81" s="1324">
        <f t="shared" si="26"/>
        <v>0</v>
      </c>
      <c r="AK81" s="1324">
        <f t="shared" si="26"/>
        <v>0</v>
      </c>
      <c r="AL81" s="1324">
        <f t="shared" si="26"/>
        <v>0</v>
      </c>
      <c r="AM81" s="1324">
        <f t="shared" si="26"/>
        <v>0</v>
      </c>
      <c r="AN81" s="1324">
        <f t="shared" si="26"/>
        <v>0</v>
      </c>
    </row>
    <row r="82" spans="2:40" ht="15" outlineLevel="1" x14ac:dyDescent="0.25">
      <c r="B82" s="1339"/>
      <c r="C82" s="1319"/>
      <c r="D82" s="1319"/>
      <c r="E82" s="1330"/>
      <c r="F82" s="1343"/>
      <c r="G82" s="1330"/>
      <c r="H82" s="1330"/>
      <c r="I82" s="1330"/>
      <c r="J82" s="1330"/>
      <c r="K82" s="1330"/>
      <c r="L82" s="1319"/>
      <c r="M82" s="1319"/>
      <c r="N82" s="1319"/>
      <c r="O82" s="1320">
        <f t="shared" si="25"/>
        <v>0</v>
      </c>
      <c r="P82" s="1315"/>
      <c r="Q82" s="1325">
        <v>43131</v>
      </c>
      <c r="R82" s="1310" t="s">
        <v>695</v>
      </c>
      <c r="S82" s="1325"/>
      <c r="T82" s="1315"/>
      <c r="U82" s="1326"/>
      <c r="V82" s="1322"/>
      <c r="W82" s="1326"/>
      <c r="X82" s="1326"/>
      <c r="Y82" s="1325"/>
      <c r="Z82" s="1326"/>
      <c r="AA82" s="1326"/>
      <c r="AB82" s="1326"/>
      <c r="AC82" s="1326"/>
      <c r="AD82" s="1326"/>
      <c r="AE82" s="1324">
        <f t="shared" si="26"/>
        <v>0</v>
      </c>
      <c r="AF82" s="1324">
        <f t="shared" si="26"/>
        <v>0</v>
      </c>
      <c r="AG82" s="1324">
        <f t="shared" si="26"/>
        <v>0</v>
      </c>
      <c r="AH82" s="1324">
        <f t="shared" si="26"/>
        <v>0</v>
      </c>
      <c r="AI82" s="1324">
        <f t="shared" si="26"/>
        <v>0</v>
      </c>
      <c r="AJ82" s="1324">
        <f t="shared" si="26"/>
        <v>0</v>
      </c>
      <c r="AK82" s="1324">
        <f t="shared" si="26"/>
        <v>0</v>
      </c>
      <c r="AL82" s="1324">
        <f t="shared" si="26"/>
        <v>0</v>
      </c>
      <c r="AM82" s="1324">
        <f t="shared" si="26"/>
        <v>0</v>
      </c>
      <c r="AN82" s="1324">
        <f t="shared" si="26"/>
        <v>0</v>
      </c>
    </row>
    <row r="83" spans="2:40" ht="15" outlineLevel="1" x14ac:dyDescent="0.25">
      <c r="B83" s="1339"/>
      <c r="C83" s="1319"/>
      <c r="D83" s="1319"/>
      <c r="E83" s="1330"/>
      <c r="F83" s="1343"/>
      <c r="G83" s="1330"/>
      <c r="H83" s="1330"/>
      <c r="I83" s="1330"/>
      <c r="J83" s="1330"/>
      <c r="K83" s="1330"/>
      <c r="L83" s="1319"/>
      <c r="M83" s="1319"/>
      <c r="N83" s="1319"/>
      <c r="O83" s="1320">
        <f t="shared" si="25"/>
        <v>0</v>
      </c>
      <c r="P83" s="1315"/>
      <c r="Q83" s="1325">
        <v>43131</v>
      </c>
      <c r="R83" s="1310" t="s">
        <v>695</v>
      </c>
      <c r="S83" s="1325"/>
      <c r="T83" s="1315"/>
      <c r="U83" s="1326"/>
      <c r="V83" s="1322"/>
      <c r="W83" s="1322"/>
      <c r="X83" s="1326"/>
      <c r="Y83" s="1326"/>
      <c r="Z83" s="1326"/>
      <c r="AA83" s="1325"/>
      <c r="AB83" s="1326"/>
      <c r="AC83" s="1326"/>
      <c r="AD83" s="1326"/>
      <c r="AE83" s="1324">
        <f t="shared" si="26"/>
        <v>0</v>
      </c>
      <c r="AF83" s="1324">
        <f t="shared" si="26"/>
        <v>0</v>
      </c>
      <c r="AG83" s="1324">
        <f t="shared" si="26"/>
        <v>0</v>
      </c>
      <c r="AH83" s="1324">
        <f t="shared" si="26"/>
        <v>0</v>
      </c>
      <c r="AI83" s="1324">
        <f t="shared" si="26"/>
        <v>0</v>
      </c>
      <c r="AJ83" s="1324">
        <f t="shared" si="26"/>
        <v>0</v>
      </c>
      <c r="AK83" s="1324">
        <f t="shared" si="26"/>
        <v>0</v>
      </c>
      <c r="AL83" s="1324">
        <f t="shared" si="26"/>
        <v>0</v>
      </c>
      <c r="AM83" s="1324">
        <f t="shared" si="26"/>
        <v>0</v>
      </c>
      <c r="AN83" s="1324">
        <f t="shared" si="26"/>
        <v>0</v>
      </c>
    </row>
    <row r="84" spans="2:40" ht="15" outlineLevel="1" x14ac:dyDescent="0.25">
      <c r="B84" s="1339"/>
      <c r="C84" s="1319"/>
      <c r="D84" s="1319"/>
      <c r="E84" s="1330"/>
      <c r="F84" s="1330"/>
      <c r="G84" s="1330"/>
      <c r="H84" s="1330"/>
      <c r="I84" s="1330"/>
      <c r="J84" s="1330"/>
      <c r="K84" s="1330"/>
      <c r="L84" s="1319"/>
      <c r="M84" s="1319"/>
      <c r="N84" s="1319"/>
      <c r="O84" s="1320">
        <f t="shared" si="25"/>
        <v>0</v>
      </c>
      <c r="P84" s="1315"/>
      <c r="Q84" s="1325" t="s">
        <v>707</v>
      </c>
      <c r="R84" s="1310"/>
      <c r="S84" s="1325"/>
      <c r="T84" s="1315"/>
      <c r="U84" s="1322"/>
      <c r="V84" s="1322"/>
      <c r="W84" s="1322"/>
      <c r="X84" s="1326"/>
      <c r="Y84" s="1326"/>
      <c r="Z84" s="1325"/>
      <c r="AA84" s="1326"/>
      <c r="AB84" s="1326"/>
      <c r="AC84" s="1326"/>
      <c r="AD84" s="1326"/>
      <c r="AE84" s="1324">
        <f t="shared" si="26"/>
        <v>0</v>
      </c>
      <c r="AF84" s="1324">
        <f t="shared" si="26"/>
        <v>0</v>
      </c>
      <c r="AG84" s="1324">
        <f t="shared" si="26"/>
        <v>0</v>
      </c>
      <c r="AH84" s="1324">
        <f t="shared" si="26"/>
        <v>0</v>
      </c>
      <c r="AI84" s="1324">
        <f t="shared" si="26"/>
        <v>0</v>
      </c>
      <c r="AJ84" s="1324">
        <f t="shared" si="26"/>
        <v>0</v>
      </c>
      <c r="AK84" s="1324">
        <f t="shared" si="26"/>
        <v>0</v>
      </c>
      <c r="AL84" s="1324">
        <f t="shared" si="26"/>
        <v>0</v>
      </c>
      <c r="AM84" s="1324">
        <f t="shared" si="26"/>
        <v>0</v>
      </c>
      <c r="AN84" s="1324">
        <f t="shared" si="26"/>
        <v>0</v>
      </c>
    </row>
    <row r="85" spans="2:40" ht="15" outlineLevel="1" x14ac:dyDescent="0.25">
      <c r="B85" s="1339"/>
      <c r="C85" s="1319"/>
      <c r="D85" s="1319"/>
      <c r="E85" s="1330"/>
      <c r="F85" s="1330"/>
      <c r="G85" s="1330"/>
      <c r="H85" s="1330"/>
      <c r="I85" s="1330"/>
      <c r="J85" s="1330"/>
      <c r="K85" s="1330"/>
      <c r="L85" s="1319"/>
      <c r="M85" s="1319"/>
      <c r="N85" s="1319"/>
      <c r="O85" s="1320">
        <f t="shared" si="25"/>
        <v>0</v>
      </c>
      <c r="P85" s="1315"/>
      <c r="Q85" s="1325">
        <v>42339</v>
      </c>
      <c r="R85" s="1310" t="s">
        <v>695</v>
      </c>
      <c r="S85" s="1325"/>
      <c r="T85" s="1315"/>
      <c r="U85" s="1322"/>
      <c r="V85" s="1322"/>
      <c r="W85" s="1326"/>
      <c r="X85" s="1326"/>
      <c r="Y85" s="1326"/>
      <c r="Z85" s="1325"/>
      <c r="AA85" s="1326"/>
      <c r="AB85" s="1326"/>
      <c r="AC85" s="1326"/>
      <c r="AD85" s="1326"/>
      <c r="AE85" s="1324">
        <f t="shared" si="26"/>
        <v>0</v>
      </c>
      <c r="AF85" s="1324">
        <f t="shared" si="26"/>
        <v>0</v>
      </c>
      <c r="AG85" s="1324">
        <f t="shared" si="26"/>
        <v>0</v>
      </c>
      <c r="AH85" s="1324">
        <f t="shared" si="26"/>
        <v>0</v>
      </c>
      <c r="AI85" s="1324">
        <f t="shared" si="26"/>
        <v>0</v>
      </c>
      <c r="AJ85" s="1324">
        <f t="shared" si="26"/>
        <v>0</v>
      </c>
      <c r="AK85" s="1324">
        <f t="shared" si="26"/>
        <v>0</v>
      </c>
      <c r="AL85" s="1324">
        <f t="shared" si="26"/>
        <v>0</v>
      </c>
      <c r="AM85" s="1324">
        <f t="shared" si="26"/>
        <v>0</v>
      </c>
      <c r="AN85" s="1324">
        <f t="shared" si="26"/>
        <v>0</v>
      </c>
    </row>
    <row r="86" spans="2:40" ht="15" outlineLevel="1" x14ac:dyDescent="0.25">
      <c r="B86" s="1339"/>
      <c r="C86" s="1319"/>
      <c r="D86" s="1319"/>
      <c r="E86" s="1330"/>
      <c r="F86" s="1330"/>
      <c r="G86" s="1330"/>
      <c r="H86" s="1330"/>
      <c r="I86" s="1330"/>
      <c r="J86" s="1330"/>
      <c r="K86" s="1330"/>
      <c r="L86" s="1319"/>
      <c r="M86" s="1319"/>
      <c r="N86" s="1319"/>
      <c r="O86" s="1320">
        <f t="shared" si="25"/>
        <v>0</v>
      </c>
      <c r="P86" s="1315"/>
      <c r="Q86" s="1325">
        <v>42339</v>
      </c>
      <c r="R86" s="1310" t="s">
        <v>695</v>
      </c>
      <c r="S86" s="1325"/>
      <c r="T86" s="1315"/>
      <c r="U86" s="1322"/>
      <c r="V86" s="1322"/>
      <c r="W86" s="1322"/>
      <c r="X86" s="1326"/>
      <c r="Y86" s="1326"/>
      <c r="Z86" s="1326"/>
      <c r="AA86" s="1325"/>
      <c r="AB86" s="1326"/>
      <c r="AC86" s="1326"/>
      <c r="AD86" s="1326"/>
      <c r="AE86" s="1324">
        <f t="shared" si="26"/>
        <v>0</v>
      </c>
      <c r="AF86" s="1324">
        <f t="shared" si="26"/>
        <v>0</v>
      </c>
      <c r="AG86" s="1324">
        <f t="shared" si="26"/>
        <v>0</v>
      </c>
      <c r="AH86" s="1324">
        <f t="shared" si="26"/>
        <v>0</v>
      </c>
      <c r="AI86" s="1324">
        <f t="shared" si="26"/>
        <v>0</v>
      </c>
      <c r="AJ86" s="1324">
        <f t="shared" si="26"/>
        <v>0</v>
      </c>
      <c r="AK86" s="1324">
        <f t="shared" si="26"/>
        <v>0</v>
      </c>
      <c r="AL86" s="1324">
        <f t="shared" si="26"/>
        <v>0</v>
      </c>
      <c r="AM86" s="1324">
        <f t="shared" si="26"/>
        <v>0</v>
      </c>
      <c r="AN86" s="1324">
        <f t="shared" si="26"/>
        <v>0</v>
      </c>
    </row>
    <row r="87" spans="2:40" ht="15" outlineLevel="1" x14ac:dyDescent="0.25">
      <c r="B87" s="1339"/>
      <c r="C87" s="1319"/>
      <c r="D87" s="1319"/>
      <c r="E87" s="1330"/>
      <c r="F87" s="1330"/>
      <c r="G87" s="1330"/>
      <c r="H87" s="1330"/>
      <c r="I87" s="1330"/>
      <c r="J87" s="1330"/>
      <c r="K87" s="1330"/>
      <c r="L87" s="1319"/>
      <c r="M87" s="1319"/>
      <c r="N87" s="1319"/>
      <c r="O87" s="1320">
        <f t="shared" si="25"/>
        <v>0</v>
      </c>
      <c r="P87" s="1315"/>
      <c r="Q87" s="1325">
        <v>42339</v>
      </c>
      <c r="R87" s="1310" t="s">
        <v>695</v>
      </c>
      <c r="S87" s="1325"/>
      <c r="T87" s="1315"/>
      <c r="U87" s="1322"/>
      <c r="V87" s="1322"/>
      <c r="W87" s="1326"/>
      <c r="X87" s="1326"/>
      <c r="Y87" s="1326"/>
      <c r="Z87" s="1326"/>
      <c r="AA87" s="1326"/>
      <c r="AB87" s="1325"/>
      <c r="AC87" s="1326"/>
      <c r="AD87" s="1326"/>
      <c r="AE87" s="1324">
        <f t="shared" si="26"/>
        <v>0</v>
      </c>
      <c r="AF87" s="1324">
        <f t="shared" si="26"/>
        <v>0</v>
      </c>
      <c r="AG87" s="1324">
        <f t="shared" si="26"/>
        <v>0</v>
      </c>
      <c r="AH87" s="1324">
        <f t="shared" si="26"/>
        <v>0</v>
      </c>
      <c r="AI87" s="1324">
        <f t="shared" si="26"/>
        <v>0</v>
      </c>
      <c r="AJ87" s="1324">
        <f t="shared" si="26"/>
        <v>0</v>
      </c>
      <c r="AK87" s="1324">
        <f t="shared" si="26"/>
        <v>0</v>
      </c>
      <c r="AL87" s="1324">
        <f t="shared" si="26"/>
        <v>0</v>
      </c>
      <c r="AM87" s="1324">
        <f t="shared" si="26"/>
        <v>0</v>
      </c>
      <c r="AN87" s="1324">
        <f t="shared" si="26"/>
        <v>0</v>
      </c>
    </row>
    <row r="88" spans="2:40" ht="15" outlineLevel="1" x14ac:dyDescent="0.25">
      <c r="B88" s="1339"/>
      <c r="C88" s="1319"/>
      <c r="D88" s="1319"/>
      <c r="E88" s="1330"/>
      <c r="F88" s="1330"/>
      <c r="G88" s="1330"/>
      <c r="H88" s="1330"/>
      <c r="I88" s="1330"/>
      <c r="J88" s="1330"/>
      <c r="K88" s="1330"/>
      <c r="L88" s="1319"/>
      <c r="M88" s="1319"/>
      <c r="N88" s="1319"/>
      <c r="O88" s="1320">
        <f t="shared" si="25"/>
        <v>0</v>
      </c>
      <c r="P88" s="1315"/>
      <c r="Q88" s="1325">
        <v>42705</v>
      </c>
      <c r="R88" s="1310" t="s">
        <v>695</v>
      </c>
      <c r="S88" s="1325"/>
      <c r="T88" s="1315"/>
      <c r="U88" s="1322"/>
      <c r="V88" s="1322"/>
      <c r="W88" s="1326"/>
      <c r="X88" s="1326"/>
      <c r="Y88" s="1326"/>
      <c r="Z88" s="1326"/>
      <c r="AA88" s="1325"/>
      <c r="AB88" s="1326"/>
      <c r="AC88" s="1326"/>
      <c r="AD88" s="1326"/>
      <c r="AE88" s="1324">
        <f t="shared" si="26"/>
        <v>0</v>
      </c>
      <c r="AF88" s="1324">
        <f t="shared" si="26"/>
        <v>0</v>
      </c>
      <c r="AG88" s="1324">
        <f t="shared" si="26"/>
        <v>0</v>
      </c>
      <c r="AH88" s="1324">
        <f t="shared" si="26"/>
        <v>0</v>
      </c>
      <c r="AI88" s="1324">
        <f t="shared" si="26"/>
        <v>0</v>
      </c>
      <c r="AJ88" s="1324">
        <f t="shared" si="26"/>
        <v>0</v>
      </c>
      <c r="AK88" s="1324">
        <f t="shared" si="26"/>
        <v>0</v>
      </c>
      <c r="AL88" s="1324">
        <f t="shared" si="26"/>
        <v>0</v>
      </c>
      <c r="AM88" s="1324">
        <f t="shared" si="26"/>
        <v>0</v>
      </c>
      <c r="AN88" s="1324">
        <f t="shared" si="26"/>
        <v>0</v>
      </c>
    </row>
    <row r="89" spans="2:40" ht="15" outlineLevel="1" x14ac:dyDescent="0.25">
      <c r="B89" s="1339"/>
      <c r="C89" s="1319"/>
      <c r="D89" s="1319"/>
      <c r="E89" s="1343"/>
      <c r="F89" s="1330"/>
      <c r="G89" s="1343"/>
      <c r="H89" s="1330"/>
      <c r="I89" s="1330"/>
      <c r="J89" s="1330"/>
      <c r="K89" s="1330"/>
      <c r="L89" s="1319"/>
      <c r="M89" s="1319"/>
      <c r="N89" s="1319"/>
      <c r="O89" s="1320">
        <f t="shared" si="25"/>
        <v>0</v>
      </c>
      <c r="P89" s="1315"/>
      <c r="Q89" s="1325">
        <v>42705</v>
      </c>
      <c r="R89" s="1310" t="s">
        <v>695</v>
      </c>
      <c r="S89" s="1325"/>
      <c r="T89" s="1315"/>
      <c r="U89" s="1322"/>
      <c r="V89" s="1322"/>
      <c r="W89" s="1326"/>
      <c r="X89" s="1326"/>
      <c r="Y89" s="1326"/>
      <c r="Z89" s="1326"/>
      <c r="AA89" s="1325"/>
      <c r="AB89" s="1326"/>
      <c r="AC89" s="1326"/>
      <c r="AD89" s="1326"/>
      <c r="AE89" s="1324">
        <f t="shared" si="26"/>
        <v>0</v>
      </c>
      <c r="AF89" s="1324">
        <f t="shared" si="26"/>
        <v>0</v>
      </c>
      <c r="AG89" s="1324">
        <f t="shared" si="26"/>
        <v>0</v>
      </c>
      <c r="AH89" s="1324">
        <f t="shared" si="26"/>
        <v>0</v>
      </c>
      <c r="AI89" s="1324">
        <f t="shared" si="26"/>
        <v>0</v>
      </c>
      <c r="AJ89" s="1324">
        <f t="shared" si="26"/>
        <v>0</v>
      </c>
      <c r="AK89" s="1324">
        <f t="shared" si="26"/>
        <v>0</v>
      </c>
      <c r="AL89" s="1324">
        <f t="shared" si="26"/>
        <v>0</v>
      </c>
      <c r="AM89" s="1324">
        <f t="shared" si="26"/>
        <v>0</v>
      </c>
      <c r="AN89" s="1324">
        <f t="shared" si="26"/>
        <v>0</v>
      </c>
    </row>
    <row r="90" spans="2:40" ht="15" outlineLevel="1" x14ac:dyDescent="0.25">
      <c r="B90" s="1339"/>
      <c r="C90" s="1319"/>
      <c r="D90" s="1319"/>
      <c r="E90" s="1330"/>
      <c r="F90" s="1330"/>
      <c r="G90" s="1330"/>
      <c r="H90" s="1330"/>
      <c r="I90" s="1330"/>
      <c r="J90" s="1330"/>
      <c r="K90" s="1330"/>
      <c r="L90" s="1319"/>
      <c r="M90" s="1319"/>
      <c r="N90" s="1319"/>
      <c r="O90" s="1320">
        <f t="shared" si="25"/>
        <v>0</v>
      </c>
      <c r="P90" s="1315"/>
      <c r="Q90" s="1325">
        <v>42339</v>
      </c>
      <c r="R90" s="1310" t="s">
        <v>695</v>
      </c>
      <c r="S90" s="1325"/>
      <c r="T90" s="1315"/>
      <c r="U90" s="1326"/>
      <c r="V90" s="1322"/>
      <c r="W90" s="1322"/>
      <c r="X90" s="1326"/>
      <c r="Y90" s="1326"/>
      <c r="Z90" s="1326"/>
      <c r="AA90" s="1325"/>
      <c r="AB90" s="1326"/>
      <c r="AC90" s="1326"/>
      <c r="AD90" s="1326"/>
      <c r="AE90" s="1324">
        <f t="shared" si="26"/>
        <v>0</v>
      </c>
      <c r="AF90" s="1324">
        <f t="shared" si="26"/>
        <v>0</v>
      </c>
      <c r="AG90" s="1324">
        <f t="shared" si="26"/>
        <v>0</v>
      </c>
      <c r="AH90" s="1324">
        <f t="shared" si="26"/>
        <v>0</v>
      </c>
      <c r="AI90" s="1324">
        <f t="shared" si="26"/>
        <v>0</v>
      </c>
      <c r="AJ90" s="1324">
        <f t="shared" si="26"/>
        <v>0</v>
      </c>
      <c r="AK90" s="1324">
        <f t="shared" si="26"/>
        <v>0</v>
      </c>
      <c r="AL90" s="1324">
        <f t="shared" si="26"/>
        <v>0</v>
      </c>
      <c r="AM90" s="1324">
        <f t="shared" si="26"/>
        <v>0</v>
      </c>
      <c r="AN90" s="1324">
        <f t="shared" si="26"/>
        <v>0</v>
      </c>
    </row>
    <row r="91" spans="2:40" ht="15" outlineLevel="1" x14ac:dyDescent="0.25">
      <c r="B91" s="1339"/>
      <c r="C91" s="1319"/>
      <c r="D91" s="1319"/>
      <c r="E91" s="1330"/>
      <c r="F91" s="1330"/>
      <c r="G91" s="1330"/>
      <c r="H91" s="1330"/>
      <c r="I91" s="1330"/>
      <c r="J91" s="1330"/>
      <c r="K91" s="1330"/>
      <c r="L91" s="1319"/>
      <c r="M91" s="1319"/>
      <c r="N91" s="1319"/>
      <c r="O91" s="1320">
        <f t="shared" si="25"/>
        <v>0</v>
      </c>
      <c r="P91" s="1315"/>
      <c r="Q91" s="1325">
        <v>42705</v>
      </c>
      <c r="R91" s="1310" t="s">
        <v>695</v>
      </c>
      <c r="S91" s="1325"/>
      <c r="T91" s="1315"/>
      <c r="U91" s="1326"/>
      <c r="V91" s="1322"/>
      <c r="W91" s="1326"/>
      <c r="X91" s="1326"/>
      <c r="Y91" s="1325"/>
      <c r="Z91" s="1326"/>
      <c r="AA91" s="1326"/>
      <c r="AB91" s="1326"/>
      <c r="AC91" s="1326"/>
      <c r="AD91" s="1326"/>
      <c r="AE91" s="1324">
        <f t="shared" si="26"/>
        <v>0</v>
      </c>
      <c r="AF91" s="1324">
        <f t="shared" si="26"/>
        <v>0</v>
      </c>
      <c r="AG91" s="1324">
        <f t="shared" si="26"/>
        <v>0</v>
      </c>
      <c r="AH91" s="1324">
        <f t="shared" si="26"/>
        <v>0</v>
      </c>
      <c r="AI91" s="1324">
        <f t="shared" si="26"/>
        <v>0</v>
      </c>
      <c r="AJ91" s="1324">
        <f t="shared" si="26"/>
        <v>0</v>
      </c>
      <c r="AK91" s="1324">
        <f t="shared" si="26"/>
        <v>0</v>
      </c>
      <c r="AL91" s="1324">
        <f t="shared" si="26"/>
        <v>0</v>
      </c>
      <c r="AM91" s="1324">
        <f t="shared" si="26"/>
        <v>0</v>
      </c>
      <c r="AN91" s="1324">
        <f t="shared" si="26"/>
        <v>0</v>
      </c>
    </row>
    <row r="92" spans="2:40" ht="15" outlineLevel="1" x14ac:dyDescent="0.25">
      <c r="B92" s="1339"/>
      <c r="C92" s="1319"/>
      <c r="D92" s="1319"/>
      <c r="E92" s="1330"/>
      <c r="F92" s="1330"/>
      <c r="G92" s="1330"/>
      <c r="H92" s="1330"/>
      <c r="I92" s="1330"/>
      <c r="J92" s="1330"/>
      <c r="K92" s="1330"/>
      <c r="L92" s="1319"/>
      <c r="M92" s="1319"/>
      <c r="N92" s="1319"/>
      <c r="O92" s="1320">
        <f t="shared" si="25"/>
        <v>0</v>
      </c>
      <c r="P92" s="1315"/>
      <c r="Q92" s="1325">
        <v>43131</v>
      </c>
      <c r="R92" s="1310"/>
      <c r="S92" s="1325"/>
      <c r="T92" s="1315"/>
      <c r="U92" s="1326"/>
      <c r="V92" s="1322"/>
      <c r="W92" s="1326"/>
      <c r="X92" s="1326"/>
      <c r="Y92" s="1325"/>
      <c r="Z92" s="1326"/>
      <c r="AA92" s="1326"/>
      <c r="AB92" s="1326"/>
      <c r="AC92" s="1326"/>
      <c r="AD92" s="1326"/>
      <c r="AE92" s="1324">
        <f t="shared" si="26"/>
        <v>0</v>
      </c>
      <c r="AF92" s="1324">
        <f t="shared" si="26"/>
        <v>0</v>
      </c>
      <c r="AG92" s="1324">
        <f t="shared" si="26"/>
        <v>0</v>
      </c>
      <c r="AH92" s="1324">
        <f t="shared" si="26"/>
        <v>0</v>
      </c>
      <c r="AI92" s="1324">
        <f t="shared" si="26"/>
        <v>0</v>
      </c>
      <c r="AJ92" s="1324">
        <f t="shared" si="26"/>
        <v>0</v>
      </c>
      <c r="AK92" s="1324">
        <f t="shared" si="26"/>
        <v>0</v>
      </c>
      <c r="AL92" s="1324">
        <f t="shared" si="26"/>
        <v>0</v>
      </c>
      <c r="AM92" s="1324">
        <f t="shared" si="26"/>
        <v>0</v>
      </c>
      <c r="AN92" s="1324">
        <f t="shared" si="26"/>
        <v>0</v>
      </c>
    </row>
    <row r="93" spans="2:40" ht="15" outlineLevel="1" x14ac:dyDescent="0.25">
      <c r="B93" s="1339"/>
      <c r="C93" s="1319"/>
      <c r="D93" s="1319"/>
      <c r="E93" s="1330"/>
      <c r="F93" s="1330"/>
      <c r="G93" s="1330"/>
      <c r="H93" s="1330"/>
      <c r="I93" s="1330"/>
      <c r="J93" s="1330"/>
      <c r="K93" s="1330"/>
      <c r="L93" s="1319"/>
      <c r="M93" s="1319"/>
      <c r="N93" s="1319"/>
      <c r="O93" s="1320">
        <f t="shared" si="25"/>
        <v>0</v>
      </c>
      <c r="P93" s="1315"/>
      <c r="Q93" s="1325">
        <v>42339</v>
      </c>
      <c r="R93" s="1310" t="s">
        <v>695</v>
      </c>
      <c r="S93" s="1325"/>
      <c r="T93" s="1315"/>
      <c r="U93" s="1326"/>
      <c r="V93" s="1322"/>
      <c r="W93" s="1322"/>
      <c r="X93" s="1322"/>
      <c r="Y93" s="1326"/>
      <c r="Z93" s="1326"/>
      <c r="AA93" s="1326"/>
      <c r="AB93" s="1325"/>
      <c r="AC93" s="1326"/>
      <c r="AD93" s="1326"/>
      <c r="AE93" s="1324">
        <f t="shared" si="26"/>
        <v>0</v>
      </c>
      <c r="AF93" s="1324">
        <f t="shared" si="26"/>
        <v>0</v>
      </c>
      <c r="AG93" s="1324">
        <f t="shared" si="26"/>
        <v>0</v>
      </c>
      <c r="AH93" s="1324">
        <f t="shared" si="26"/>
        <v>0</v>
      </c>
      <c r="AI93" s="1324">
        <f t="shared" si="26"/>
        <v>0</v>
      </c>
      <c r="AJ93" s="1324">
        <f t="shared" si="26"/>
        <v>0</v>
      </c>
      <c r="AK93" s="1324">
        <f t="shared" si="26"/>
        <v>0</v>
      </c>
      <c r="AL93" s="1324">
        <f t="shared" si="26"/>
        <v>0</v>
      </c>
      <c r="AM93" s="1324">
        <f t="shared" si="26"/>
        <v>0</v>
      </c>
      <c r="AN93" s="1324">
        <f t="shared" si="26"/>
        <v>0</v>
      </c>
    </row>
    <row r="94" spans="2:40" ht="15" outlineLevel="1" x14ac:dyDescent="0.25">
      <c r="B94" s="1339"/>
      <c r="C94" s="1319"/>
      <c r="D94" s="1319"/>
      <c r="E94" s="1330"/>
      <c r="F94" s="1330"/>
      <c r="G94" s="1330"/>
      <c r="H94" s="1330"/>
      <c r="I94" s="1330"/>
      <c r="J94" s="1330"/>
      <c r="K94" s="1330"/>
      <c r="L94" s="1319"/>
      <c r="M94" s="1319"/>
      <c r="N94" s="1319"/>
      <c r="O94" s="1320">
        <f t="shared" si="25"/>
        <v>0</v>
      </c>
      <c r="P94" s="1315"/>
      <c r="Q94" s="1325">
        <v>42339</v>
      </c>
      <c r="R94" s="1310" t="s">
        <v>695</v>
      </c>
      <c r="S94" s="1325"/>
      <c r="T94" s="1315"/>
      <c r="U94" s="1326"/>
      <c r="V94" s="1322"/>
      <c r="W94" s="1326"/>
      <c r="X94" s="1326"/>
      <c r="Y94" s="1326"/>
      <c r="Z94" s="1325"/>
      <c r="AA94" s="1326"/>
      <c r="AB94" s="1326"/>
      <c r="AC94" s="1326"/>
      <c r="AD94" s="1326"/>
      <c r="AE94" s="1324">
        <f t="shared" si="26"/>
        <v>0</v>
      </c>
      <c r="AF94" s="1324">
        <f t="shared" si="26"/>
        <v>0</v>
      </c>
      <c r="AG94" s="1324">
        <f t="shared" si="26"/>
        <v>0</v>
      </c>
      <c r="AH94" s="1324">
        <f t="shared" si="26"/>
        <v>0</v>
      </c>
      <c r="AI94" s="1324">
        <f t="shared" si="26"/>
        <v>0</v>
      </c>
      <c r="AJ94" s="1324">
        <f t="shared" si="26"/>
        <v>0</v>
      </c>
      <c r="AK94" s="1324">
        <f t="shared" si="26"/>
        <v>0</v>
      </c>
      <c r="AL94" s="1324">
        <f t="shared" si="26"/>
        <v>0</v>
      </c>
      <c r="AM94" s="1324">
        <f t="shared" si="26"/>
        <v>0</v>
      </c>
      <c r="AN94" s="1324">
        <f t="shared" si="26"/>
        <v>0</v>
      </c>
    </row>
    <row r="95" spans="2:40" ht="15" outlineLevel="1" x14ac:dyDescent="0.25">
      <c r="B95" s="1339"/>
      <c r="C95" s="1319"/>
      <c r="D95" s="1319"/>
      <c r="E95" s="1330"/>
      <c r="F95" s="1290"/>
      <c r="G95" s="1330"/>
      <c r="H95" s="1330"/>
      <c r="I95" s="1330"/>
      <c r="J95" s="1330"/>
      <c r="K95" s="1330"/>
      <c r="L95" s="1319"/>
      <c r="M95" s="1319"/>
      <c r="N95" s="1319"/>
      <c r="O95" s="1320">
        <f t="shared" si="25"/>
        <v>0</v>
      </c>
      <c r="P95" s="1315"/>
      <c r="Q95" s="1351" t="s">
        <v>708</v>
      </c>
      <c r="R95" s="1310" t="s">
        <v>695</v>
      </c>
      <c r="S95" s="1325"/>
      <c r="T95" s="1315"/>
      <c r="U95" s="1325"/>
      <c r="W95" s="1326"/>
      <c r="X95" s="1326"/>
      <c r="Y95" s="1325"/>
      <c r="Z95" s="1326"/>
      <c r="AA95" s="1326"/>
      <c r="AB95" s="1326"/>
      <c r="AC95" s="1326"/>
      <c r="AD95" s="1326"/>
      <c r="AE95" s="1324">
        <f t="shared" si="26"/>
        <v>0</v>
      </c>
      <c r="AF95" s="1324">
        <f t="shared" si="26"/>
        <v>0</v>
      </c>
      <c r="AG95" s="1324">
        <f t="shared" si="26"/>
        <v>0</v>
      </c>
      <c r="AH95" s="1324">
        <f t="shared" si="26"/>
        <v>0</v>
      </c>
      <c r="AI95" s="1324">
        <f t="shared" si="26"/>
        <v>0</v>
      </c>
      <c r="AJ95" s="1324">
        <f t="shared" si="26"/>
        <v>0</v>
      </c>
      <c r="AK95" s="1324">
        <f t="shared" si="26"/>
        <v>0</v>
      </c>
      <c r="AL95" s="1324">
        <f t="shared" si="26"/>
        <v>0</v>
      </c>
      <c r="AM95" s="1324">
        <f t="shared" si="26"/>
        <v>0</v>
      </c>
      <c r="AN95" s="1324">
        <f t="shared" si="26"/>
        <v>0</v>
      </c>
    </row>
    <row r="96" spans="2:40" ht="15" outlineLevel="1" x14ac:dyDescent="0.25">
      <c r="B96" s="1339"/>
      <c r="C96" s="1319"/>
      <c r="D96" s="1319"/>
      <c r="E96" s="1330"/>
      <c r="F96" s="1330"/>
      <c r="G96" s="1330"/>
      <c r="H96" s="1330"/>
      <c r="I96" s="1330"/>
      <c r="J96" s="1330"/>
      <c r="K96" s="1330"/>
      <c r="L96" s="1319"/>
      <c r="M96" s="1319"/>
      <c r="N96" s="1319"/>
      <c r="O96" s="1320">
        <f t="shared" si="25"/>
        <v>0</v>
      </c>
      <c r="P96" s="1315"/>
      <c r="Q96" s="1325">
        <v>42705</v>
      </c>
      <c r="R96" s="1310" t="s">
        <v>695</v>
      </c>
      <c r="S96" s="1325"/>
      <c r="T96" s="1315"/>
      <c r="U96" s="1322"/>
      <c r="V96" s="1322"/>
      <c r="W96" s="1326"/>
      <c r="X96" s="1326"/>
      <c r="Y96" s="1325"/>
      <c r="Z96" s="1326"/>
      <c r="AA96" s="1326"/>
      <c r="AB96" s="1326"/>
      <c r="AC96" s="1326"/>
      <c r="AD96" s="1326"/>
      <c r="AE96" s="1324">
        <f t="shared" si="26"/>
        <v>0</v>
      </c>
      <c r="AF96" s="1324">
        <f t="shared" si="26"/>
        <v>0</v>
      </c>
      <c r="AG96" s="1324">
        <f t="shared" si="26"/>
        <v>0</v>
      </c>
      <c r="AH96" s="1324">
        <f t="shared" si="26"/>
        <v>0</v>
      </c>
      <c r="AI96" s="1324">
        <f t="shared" si="26"/>
        <v>0</v>
      </c>
      <c r="AJ96" s="1324">
        <f t="shared" si="26"/>
        <v>0</v>
      </c>
      <c r="AK96" s="1324">
        <f t="shared" si="26"/>
        <v>0</v>
      </c>
      <c r="AL96" s="1324">
        <f t="shared" si="26"/>
        <v>0</v>
      </c>
      <c r="AM96" s="1324">
        <f t="shared" si="26"/>
        <v>0</v>
      </c>
      <c r="AN96" s="1324">
        <f t="shared" si="26"/>
        <v>0</v>
      </c>
    </row>
    <row r="97" spans="2:40" ht="15" outlineLevel="1" x14ac:dyDescent="0.25">
      <c r="B97" s="1339"/>
      <c r="C97" s="1319"/>
      <c r="D97" s="1319"/>
      <c r="E97" s="1330"/>
      <c r="F97" s="1330"/>
      <c r="G97" s="1330"/>
      <c r="H97" s="1330"/>
      <c r="I97" s="1330"/>
      <c r="J97" s="1330"/>
      <c r="K97" s="1330"/>
      <c r="L97" s="1319"/>
      <c r="M97" s="1319"/>
      <c r="N97" s="1319"/>
      <c r="O97" s="1320">
        <f t="shared" si="25"/>
        <v>0</v>
      </c>
      <c r="P97" s="1315"/>
      <c r="Q97" s="1325"/>
      <c r="R97" s="1310"/>
      <c r="S97" s="1325"/>
      <c r="T97" s="1315"/>
      <c r="U97" s="1326"/>
      <c r="V97" s="1322"/>
      <c r="W97" s="1322"/>
      <c r="X97" s="1326"/>
      <c r="Y97" s="1325"/>
      <c r="Z97" s="1326"/>
      <c r="AA97" s="1326"/>
      <c r="AB97" s="1326"/>
      <c r="AC97" s="1326"/>
      <c r="AD97" s="1326"/>
      <c r="AE97" s="1324">
        <f t="shared" si="26"/>
        <v>0</v>
      </c>
      <c r="AF97" s="1324">
        <f t="shared" si="26"/>
        <v>0</v>
      </c>
      <c r="AG97" s="1324">
        <f t="shared" si="26"/>
        <v>0</v>
      </c>
      <c r="AH97" s="1324">
        <f t="shared" si="26"/>
        <v>0</v>
      </c>
      <c r="AI97" s="1324">
        <f t="shared" si="26"/>
        <v>0</v>
      </c>
      <c r="AJ97" s="1324">
        <f t="shared" si="26"/>
        <v>0</v>
      </c>
      <c r="AK97" s="1324">
        <f t="shared" si="26"/>
        <v>0</v>
      </c>
      <c r="AL97" s="1324">
        <f t="shared" si="26"/>
        <v>0</v>
      </c>
      <c r="AM97" s="1324">
        <f t="shared" si="26"/>
        <v>0</v>
      </c>
      <c r="AN97" s="1324">
        <f t="shared" si="26"/>
        <v>0</v>
      </c>
    </row>
    <row r="98" spans="2:40" ht="15" outlineLevel="1" x14ac:dyDescent="0.25">
      <c r="B98" s="1339"/>
      <c r="C98" s="1319"/>
      <c r="D98" s="1319"/>
      <c r="E98" s="1330"/>
      <c r="F98" s="1330"/>
      <c r="G98" s="1330"/>
      <c r="H98" s="1330"/>
      <c r="I98" s="1330"/>
      <c r="J98" s="1330"/>
      <c r="K98" s="1330"/>
      <c r="L98" s="1319"/>
      <c r="M98" s="1319"/>
      <c r="N98" s="1319"/>
      <c r="O98" s="1320">
        <f t="shared" si="25"/>
        <v>0</v>
      </c>
      <c r="P98" s="1315"/>
      <c r="Q98" s="1325" t="s">
        <v>11</v>
      </c>
      <c r="R98" s="1310"/>
      <c r="S98" s="1325"/>
      <c r="T98" s="1315"/>
      <c r="U98" s="1326"/>
      <c r="V98" s="1326"/>
      <c r="W98" s="1326"/>
      <c r="X98" s="1326"/>
      <c r="Y98" s="1325"/>
      <c r="Z98" s="1326"/>
      <c r="AA98" s="1326"/>
      <c r="AB98" s="1326"/>
      <c r="AC98" s="1326"/>
      <c r="AD98" s="1326"/>
      <c r="AE98" s="1324">
        <f t="shared" si="26"/>
        <v>0</v>
      </c>
      <c r="AF98" s="1324">
        <f t="shared" si="26"/>
        <v>0</v>
      </c>
      <c r="AG98" s="1324">
        <f t="shared" si="26"/>
        <v>0</v>
      </c>
      <c r="AH98" s="1324">
        <f t="shared" si="26"/>
        <v>0</v>
      </c>
      <c r="AI98" s="1324">
        <f t="shared" si="26"/>
        <v>0</v>
      </c>
      <c r="AJ98" s="1324">
        <f t="shared" si="26"/>
        <v>0</v>
      </c>
      <c r="AK98" s="1324">
        <f t="shared" si="26"/>
        <v>0</v>
      </c>
      <c r="AL98" s="1324">
        <f t="shared" si="26"/>
        <v>0</v>
      </c>
      <c r="AM98" s="1324">
        <f t="shared" si="26"/>
        <v>0</v>
      </c>
      <c r="AN98" s="1324">
        <f t="shared" si="26"/>
        <v>0</v>
      </c>
    </row>
    <row r="99" spans="2:40" ht="15" outlineLevel="1" x14ac:dyDescent="0.25">
      <c r="B99" s="1339"/>
      <c r="C99" s="1319"/>
      <c r="D99" s="1319"/>
      <c r="E99" s="1330"/>
      <c r="F99" s="1330"/>
      <c r="G99" s="1330"/>
      <c r="H99" s="1330"/>
      <c r="I99" s="1330"/>
      <c r="J99" s="1330"/>
      <c r="K99" s="1330"/>
      <c r="L99" s="1319"/>
      <c r="M99" s="1319"/>
      <c r="N99" s="1319"/>
      <c r="O99" s="1320">
        <f t="shared" si="25"/>
        <v>0</v>
      </c>
      <c r="P99" s="1315"/>
      <c r="Q99" s="1325">
        <v>41609</v>
      </c>
      <c r="R99" s="1310" t="s">
        <v>702</v>
      </c>
      <c r="S99" s="1325"/>
      <c r="T99" s="1315"/>
      <c r="U99" s="1326"/>
      <c r="V99" s="1326"/>
      <c r="W99" s="1326"/>
      <c r="X99" s="1326"/>
      <c r="Y99" s="1325"/>
      <c r="Z99" s="1326"/>
      <c r="AA99" s="1326"/>
      <c r="AB99" s="1326"/>
      <c r="AC99" s="1326"/>
      <c r="AD99" s="1326"/>
      <c r="AE99" s="1324">
        <f t="shared" si="26"/>
        <v>0</v>
      </c>
      <c r="AF99" s="1324">
        <f t="shared" si="26"/>
        <v>0</v>
      </c>
      <c r="AG99" s="1324">
        <f t="shared" si="26"/>
        <v>0</v>
      </c>
      <c r="AH99" s="1324">
        <f t="shared" si="26"/>
        <v>0</v>
      </c>
      <c r="AI99" s="1324">
        <f t="shared" si="26"/>
        <v>0</v>
      </c>
      <c r="AJ99" s="1324">
        <f t="shared" si="26"/>
        <v>0</v>
      </c>
      <c r="AK99" s="1324">
        <f t="shared" si="26"/>
        <v>0</v>
      </c>
      <c r="AL99" s="1324">
        <f t="shared" si="26"/>
        <v>0</v>
      </c>
      <c r="AM99" s="1324">
        <f t="shared" si="26"/>
        <v>0</v>
      </c>
      <c r="AN99" s="1324">
        <f t="shared" si="26"/>
        <v>0</v>
      </c>
    </row>
    <row r="100" spans="2:40" ht="15" outlineLevel="1" x14ac:dyDescent="0.25">
      <c r="B100" s="1339"/>
      <c r="C100" s="1319"/>
      <c r="D100" s="1319"/>
      <c r="E100" s="1330"/>
      <c r="F100" s="1330"/>
      <c r="G100" s="1330"/>
      <c r="H100" s="1330"/>
      <c r="I100" s="1330"/>
      <c r="J100" s="1319"/>
      <c r="K100" s="1319"/>
      <c r="L100" s="1319"/>
      <c r="M100" s="1319"/>
      <c r="N100" s="1319"/>
      <c r="O100" s="1320">
        <f t="shared" si="25"/>
        <v>0</v>
      </c>
      <c r="P100" s="1315"/>
      <c r="Q100" s="1325" t="s">
        <v>709</v>
      </c>
      <c r="R100" s="1310"/>
      <c r="S100" s="1325"/>
      <c r="T100" s="1315"/>
      <c r="U100" s="1326"/>
      <c r="V100" s="1326"/>
      <c r="W100" s="1326"/>
      <c r="X100" s="1326"/>
      <c r="Y100" s="1325"/>
      <c r="Z100" s="1326"/>
      <c r="AA100" s="1326"/>
      <c r="AB100" s="1326"/>
      <c r="AC100" s="1326"/>
      <c r="AD100" s="1326"/>
      <c r="AE100" s="1324">
        <f t="shared" si="26"/>
        <v>0</v>
      </c>
      <c r="AF100" s="1324">
        <f t="shared" si="26"/>
        <v>0</v>
      </c>
      <c r="AG100" s="1324">
        <f t="shared" si="26"/>
        <v>0</v>
      </c>
      <c r="AH100" s="1324">
        <f t="shared" si="26"/>
        <v>0</v>
      </c>
      <c r="AI100" s="1324">
        <f t="shared" si="26"/>
        <v>0</v>
      </c>
      <c r="AJ100" s="1324">
        <f t="shared" si="26"/>
        <v>0</v>
      </c>
      <c r="AK100" s="1324">
        <f t="shared" si="26"/>
        <v>0</v>
      </c>
      <c r="AL100" s="1324">
        <f t="shared" si="26"/>
        <v>0</v>
      </c>
      <c r="AM100" s="1324">
        <f t="shared" si="26"/>
        <v>0</v>
      </c>
      <c r="AN100" s="1324">
        <f t="shared" si="26"/>
        <v>0</v>
      </c>
    </row>
    <row r="101" spans="2:40" ht="15" outlineLevel="1" x14ac:dyDescent="0.25">
      <c r="B101" s="1339"/>
      <c r="C101" s="1319"/>
      <c r="D101" s="1319"/>
      <c r="E101" s="1330"/>
      <c r="F101" s="1330"/>
      <c r="G101" s="1330"/>
      <c r="H101" s="1330"/>
      <c r="I101" s="1330"/>
      <c r="J101" s="1319"/>
      <c r="K101" s="1319"/>
      <c r="L101" s="1319"/>
      <c r="M101" s="1319"/>
      <c r="N101" s="1319"/>
      <c r="O101" s="1320">
        <f t="shared" si="25"/>
        <v>0</v>
      </c>
      <c r="P101" s="1315"/>
      <c r="Q101" s="1325"/>
      <c r="R101" s="1310" t="s">
        <v>710</v>
      </c>
      <c r="S101" s="1325"/>
      <c r="T101" s="1315"/>
      <c r="U101" s="1326"/>
      <c r="V101" s="1322"/>
      <c r="W101" s="1322"/>
      <c r="X101" s="1326"/>
      <c r="Y101" s="1326"/>
      <c r="Z101" s="1325"/>
      <c r="AA101" s="1326"/>
      <c r="AB101" s="1326"/>
      <c r="AC101" s="1326"/>
      <c r="AD101" s="1326"/>
      <c r="AE101" s="1324">
        <f t="shared" si="26"/>
        <v>0</v>
      </c>
      <c r="AF101" s="1324">
        <f t="shared" si="26"/>
        <v>0</v>
      </c>
      <c r="AG101" s="1324">
        <f t="shared" si="26"/>
        <v>0</v>
      </c>
      <c r="AH101" s="1324">
        <f t="shared" si="26"/>
        <v>0</v>
      </c>
      <c r="AI101" s="1324">
        <f t="shared" si="26"/>
        <v>0</v>
      </c>
      <c r="AJ101" s="1324">
        <f t="shared" si="26"/>
        <v>0</v>
      </c>
      <c r="AK101" s="1324">
        <f t="shared" si="26"/>
        <v>0</v>
      </c>
      <c r="AL101" s="1324">
        <f t="shared" si="26"/>
        <v>0</v>
      </c>
      <c r="AM101" s="1324">
        <f t="shared" si="26"/>
        <v>0</v>
      </c>
      <c r="AN101" s="1324">
        <f t="shared" si="26"/>
        <v>0</v>
      </c>
    </row>
    <row r="102" spans="2:40" ht="15" outlineLevel="1" x14ac:dyDescent="0.25">
      <c r="B102" s="1339"/>
      <c r="C102" s="1319"/>
      <c r="D102" s="1319"/>
      <c r="E102" s="1330"/>
      <c r="F102" s="1330"/>
      <c r="G102" s="1330"/>
      <c r="H102" s="1330"/>
      <c r="I102" s="1330"/>
      <c r="J102" s="1319"/>
      <c r="K102" s="1319"/>
      <c r="L102" s="1319"/>
      <c r="M102" s="1319"/>
      <c r="N102" s="1319"/>
      <c r="O102" s="1320">
        <f t="shared" si="25"/>
        <v>0</v>
      </c>
      <c r="P102" s="1315"/>
      <c r="Q102" s="1325"/>
      <c r="R102" s="1310"/>
      <c r="S102" s="1325"/>
      <c r="T102" s="1315"/>
      <c r="U102" s="1326"/>
      <c r="V102" s="1322"/>
      <c r="W102" s="1326"/>
      <c r="X102" s="1326"/>
      <c r="Y102" s="1325"/>
      <c r="Z102" s="1326"/>
      <c r="AA102" s="1326"/>
      <c r="AB102" s="1326"/>
      <c r="AC102" s="1326"/>
      <c r="AD102" s="1326"/>
      <c r="AE102" s="1324">
        <f t="shared" si="26"/>
        <v>0</v>
      </c>
      <c r="AF102" s="1324">
        <f t="shared" si="26"/>
        <v>0</v>
      </c>
      <c r="AG102" s="1324">
        <f t="shared" si="26"/>
        <v>0</v>
      </c>
      <c r="AH102" s="1324">
        <f t="shared" si="26"/>
        <v>0</v>
      </c>
      <c r="AI102" s="1324">
        <f t="shared" si="26"/>
        <v>0</v>
      </c>
      <c r="AJ102" s="1324">
        <f t="shared" si="26"/>
        <v>0</v>
      </c>
      <c r="AK102" s="1324">
        <f t="shared" si="26"/>
        <v>0</v>
      </c>
      <c r="AL102" s="1324">
        <f t="shared" si="26"/>
        <v>0</v>
      </c>
      <c r="AM102" s="1324">
        <f t="shared" si="26"/>
        <v>0</v>
      </c>
      <c r="AN102" s="1324">
        <f t="shared" si="26"/>
        <v>0</v>
      </c>
    </row>
    <row r="103" spans="2:40" ht="15" outlineLevel="1" x14ac:dyDescent="0.25">
      <c r="B103" s="1339"/>
      <c r="C103" s="1319"/>
      <c r="D103" s="1319"/>
      <c r="E103" s="1330"/>
      <c r="F103" s="1330"/>
      <c r="G103" s="1330"/>
      <c r="H103" s="1330"/>
      <c r="I103" s="1330"/>
      <c r="J103" s="1319"/>
      <c r="K103" s="1319"/>
      <c r="L103" s="1319"/>
      <c r="M103" s="1319"/>
      <c r="N103" s="1319"/>
      <c r="O103" s="1320">
        <f t="shared" si="25"/>
        <v>0</v>
      </c>
      <c r="P103" s="1315"/>
      <c r="Q103" s="1325">
        <v>41974</v>
      </c>
      <c r="R103" s="1310" t="s">
        <v>702</v>
      </c>
      <c r="S103" s="1325"/>
      <c r="T103" s="1315"/>
      <c r="U103" s="1326"/>
      <c r="V103" s="1322"/>
      <c r="W103" s="1326"/>
      <c r="X103" s="1326"/>
      <c r="Y103" s="1326"/>
      <c r="Z103" s="1325"/>
      <c r="AA103" s="1326"/>
      <c r="AB103" s="1326"/>
      <c r="AC103" s="1326"/>
      <c r="AD103" s="1326"/>
      <c r="AE103" s="1324">
        <f t="shared" si="26"/>
        <v>0</v>
      </c>
      <c r="AF103" s="1324">
        <f t="shared" si="26"/>
        <v>0</v>
      </c>
      <c r="AG103" s="1324">
        <f t="shared" si="26"/>
        <v>0</v>
      </c>
      <c r="AH103" s="1324">
        <f t="shared" si="26"/>
        <v>0</v>
      </c>
      <c r="AI103" s="1324">
        <f t="shared" si="26"/>
        <v>0</v>
      </c>
      <c r="AJ103" s="1324">
        <f t="shared" si="26"/>
        <v>0</v>
      </c>
      <c r="AK103" s="1324">
        <f t="shared" ref="AK103:AN154" si="27">IF(ISBLANK(AA103),,(DATE(AK$6,12,31)-AA103)/365)</f>
        <v>0</v>
      </c>
      <c r="AL103" s="1324">
        <f t="shared" si="27"/>
        <v>0</v>
      </c>
      <c r="AM103" s="1324">
        <f t="shared" si="27"/>
        <v>0</v>
      </c>
      <c r="AN103" s="1324">
        <f t="shared" si="27"/>
        <v>0</v>
      </c>
    </row>
    <row r="104" spans="2:40" ht="15" outlineLevel="1" x14ac:dyDescent="0.25">
      <c r="B104" s="1339"/>
      <c r="C104" s="1363"/>
      <c r="D104" s="1319"/>
      <c r="E104" s="1343"/>
      <c r="F104" s="1343"/>
      <c r="G104" s="1343"/>
      <c r="H104" s="1343"/>
      <c r="I104" s="1343"/>
      <c r="J104" s="1363"/>
      <c r="K104" s="1363"/>
      <c r="L104" s="1363"/>
      <c r="M104" s="1363"/>
      <c r="N104" s="1363"/>
      <c r="O104" s="1320">
        <f t="shared" si="25"/>
        <v>0</v>
      </c>
      <c r="S104" s="1325"/>
      <c r="U104" s="1326"/>
      <c r="V104" s="1322"/>
      <c r="W104" s="1322"/>
      <c r="X104" s="1326"/>
      <c r="Y104" s="1325"/>
      <c r="Z104" s="1326"/>
      <c r="AA104" s="1326"/>
      <c r="AB104" s="1326"/>
      <c r="AC104" s="1326"/>
      <c r="AD104" s="1326"/>
      <c r="AE104" s="1324">
        <f t="shared" ref="AE104:AJ154" si="28">IF(ISBLANK(U104),,(DATE(AE$6,12,31)-U104)/365)</f>
        <v>0</v>
      </c>
      <c r="AF104" s="1324">
        <f t="shared" si="28"/>
        <v>0</v>
      </c>
      <c r="AG104" s="1324">
        <f t="shared" si="28"/>
        <v>0</v>
      </c>
      <c r="AH104" s="1324">
        <f t="shared" si="28"/>
        <v>0</v>
      </c>
      <c r="AI104" s="1324">
        <f t="shared" si="28"/>
        <v>0</v>
      </c>
      <c r="AJ104" s="1324">
        <f t="shared" si="28"/>
        <v>0</v>
      </c>
      <c r="AK104" s="1324">
        <f t="shared" si="27"/>
        <v>0</v>
      </c>
      <c r="AL104" s="1324">
        <f t="shared" si="27"/>
        <v>0</v>
      </c>
      <c r="AM104" s="1324">
        <f t="shared" si="27"/>
        <v>0</v>
      </c>
      <c r="AN104" s="1324">
        <f t="shared" si="27"/>
        <v>0</v>
      </c>
    </row>
    <row r="105" spans="2:40" ht="15" outlineLevel="1" x14ac:dyDescent="0.25">
      <c r="B105" s="1339"/>
      <c r="C105" s="1319"/>
      <c r="D105" s="1319"/>
      <c r="E105" s="1343"/>
      <c r="F105" s="1343"/>
      <c r="G105" s="1330"/>
      <c r="H105" s="1343"/>
      <c r="I105" s="1330"/>
      <c r="J105" s="1319"/>
      <c r="K105" s="1319"/>
      <c r="L105" s="1319"/>
      <c r="M105" s="1319"/>
      <c r="N105" s="1319"/>
      <c r="O105" s="1320">
        <f t="shared" si="25"/>
        <v>0</v>
      </c>
      <c r="P105" s="1315"/>
      <c r="Q105" s="1325"/>
      <c r="R105" s="1310"/>
      <c r="S105" s="1325"/>
      <c r="T105" s="1315"/>
      <c r="U105" s="1325"/>
      <c r="V105" s="1326"/>
      <c r="W105" s="1326"/>
      <c r="X105" s="1326"/>
      <c r="Y105" s="1326"/>
      <c r="Z105" s="1326"/>
      <c r="AA105" s="1326"/>
      <c r="AB105" s="1325"/>
      <c r="AC105" s="1326"/>
      <c r="AD105" s="1326"/>
      <c r="AE105" s="1324">
        <f t="shared" si="28"/>
        <v>0</v>
      </c>
      <c r="AF105" s="1324">
        <f t="shared" si="28"/>
        <v>0</v>
      </c>
      <c r="AG105" s="1324">
        <f t="shared" si="28"/>
        <v>0</v>
      </c>
      <c r="AH105" s="1324">
        <f t="shared" si="28"/>
        <v>0</v>
      </c>
      <c r="AI105" s="1324">
        <f t="shared" si="28"/>
        <v>0</v>
      </c>
      <c r="AJ105" s="1324">
        <f t="shared" si="28"/>
        <v>0</v>
      </c>
      <c r="AK105" s="1324">
        <f t="shared" si="27"/>
        <v>0</v>
      </c>
      <c r="AL105" s="1324">
        <f t="shared" si="27"/>
        <v>0</v>
      </c>
      <c r="AM105" s="1324">
        <f t="shared" si="27"/>
        <v>0</v>
      </c>
      <c r="AN105" s="1324">
        <f t="shared" si="27"/>
        <v>0</v>
      </c>
    </row>
    <row r="106" spans="2:40" ht="15" outlineLevel="1" x14ac:dyDescent="0.25">
      <c r="B106" s="1339"/>
      <c r="C106" s="1319"/>
      <c r="D106" s="1319"/>
      <c r="E106" s="1343"/>
      <c r="F106" s="1330"/>
      <c r="G106" s="1343"/>
      <c r="H106" s="1330"/>
      <c r="I106" s="1330"/>
      <c r="J106" s="1319"/>
      <c r="K106" s="1319"/>
      <c r="L106" s="1319"/>
      <c r="M106" s="1319"/>
      <c r="N106" s="1319"/>
      <c r="O106" s="1320">
        <f t="shared" si="25"/>
        <v>0</v>
      </c>
      <c r="P106" s="1315"/>
      <c r="Q106" s="1325">
        <v>42339</v>
      </c>
      <c r="R106" s="1310" t="s">
        <v>702</v>
      </c>
      <c r="S106" s="1325"/>
      <c r="T106" s="1315"/>
      <c r="U106" s="1322"/>
      <c r="V106" s="1322"/>
      <c r="W106" s="1322"/>
      <c r="X106" s="1326"/>
      <c r="Y106" s="1326"/>
      <c r="Z106" s="1326"/>
      <c r="AA106" s="1325"/>
      <c r="AB106" s="1326"/>
      <c r="AC106" s="1326"/>
      <c r="AD106" s="1326"/>
      <c r="AE106" s="1324">
        <f t="shared" si="28"/>
        <v>0</v>
      </c>
      <c r="AF106" s="1324">
        <f t="shared" si="28"/>
        <v>0</v>
      </c>
      <c r="AG106" s="1324">
        <f t="shared" si="28"/>
        <v>0</v>
      </c>
      <c r="AH106" s="1324">
        <f t="shared" si="28"/>
        <v>0</v>
      </c>
      <c r="AI106" s="1324">
        <f t="shared" si="28"/>
        <v>0</v>
      </c>
      <c r="AJ106" s="1324">
        <f t="shared" si="28"/>
        <v>0</v>
      </c>
      <c r="AK106" s="1324">
        <f t="shared" si="27"/>
        <v>0</v>
      </c>
      <c r="AL106" s="1324">
        <f t="shared" si="27"/>
        <v>0</v>
      </c>
      <c r="AM106" s="1324">
        <f t="shared" si="27"/>
        <v>0</v>
      </c>
      <c r="AN106" s="1324">
        <f t="shared" si="27"/>
        <v>0</v>
      </c>
    </row>
    <row r="107" spans="2:40" ht="15" outlineLevel="1" x14ac:dyDescent="0.25">
      <c r="B107" s="1339"/>
      <c r="C107" s="1319"/>
      <c r="D107" s="1319"/>
      <c r="E107" s="1330"/>
      <c r="F107" s="1330"/>
      <c r="G107" s="1330"/>
      <c r="H107" s="1330"/>
      <c r="I107" s="1330"/>
      <c r="J107" s="1319"/>
      <c r="K107" s="1319"/>
      <c r="L107" s="1319"/>
      <c r="M107" s="1319"/>
      <c r="N107" s="1319"/>
      <c r="O107" s="1320">
        <f t="shared" si="25"/>
        <v>0</v>
      </c>
      <c r="P107" s="1315"/>
      <c r="Q107" s="1325">
        <v>43131</v>
      </c>
      <c r="R107" s="1310" t="s">
        <v>11</v>
      </c>
      <c r="S107" s="1325"/>
      <c r="T107" s="1315"/>
      <c r="U107" s="1326"/>
      <c r="V107" s="1322"/>
      <c r="W107" s="1326"/>
      <c r="X107" s="1326"/>
      <c r="Y107" s="1326"/>
      <c r="Z107" s="1326"/>
      <c r="AA107" s="1326"/>
      <c r="AB107" s="1325"/>
      <c r="AC107" s="1326"/>
      <c r="AD107" s="1326"/>
      <c r="AE107" s="1324">
        <f t="shared" si="28"/>
        <v>0</v>
      </c>
      <c r="AF107" s="1324">
        <f t="shared" si="28"/>
        <v>0</v>
      </c>
      <c r="AG107" s="1324">
        <f t="shared" si="28"/>
        <v>0</v>
      </c>
      <c r="AH107" s="1324">
        <f t="shared" si="28"/>
        <v>0</v>
      </c>
      <c r="AI107" s="1324">
        <f t="shared" si="28"/>
        <v>0</v>
      </c>
      <c r="AJ107" s="1324">
        <f t="shared" si="28"/>
        <v>0</v>
      </c>
      <c r="AK107" s="1324">
        <f t="shared" si="27"/>
        <v>0</v>
      </c>
      <c r="AL107" s="1324">
        <f t="shared" si="27"/>
        <v>0</v>
      </c>
      <c r="AM107" s="1324">
        <f t="shared" si="27"/>
        <v>0</v>
      </c>
      <c r="AN107" s="1324">
        <f t="shared" si="27"/>
        <v>0</v>
      </c>
    </row>
    <row r="108" spans="2:40" ht="15" outlineLevel="1" x14ac:dyDescent="0.25">
      <c r="B108" s="1339"/>
      <c r="C108" s="1319"/>
      <c r="D108" s="1319"/>
      <c r="E108" s="1330"/>
      <c r="F108" s="1330"/>
      <c r="G108" s="1330"/>
      <c r="H108" s="1330"/>
      <c r="I108" s="1330"/>
      <c r="J108" s="1319"/>
      <c r="K108" s="1319"/>
      <c r="L108" s="1319"/>
      <c r="M108" s="1319"/>
      <c r="N108" s="1319"/>
      <c r="O108" s="1320">
        <f t="shared" si="25"/>
        <v>0</v>
      </c>
      <c r="P108" s="1315"/>
      <c r="Q108" s="1325"/>
      <c r="S108" s="1325"/>
      <c r="T108" s="1315"/>
      <c r="U108" s="1326"/>
      <c r="V108" s="1322"/>
      <c r="W108" s="1322"/>
      <c r="X108" s="1322"/>
      <c r="Y108" s="1325"/>
      <c r="Z108" s="1326"/>
      <c r="AA108" s="1326"/>
      <c r="AB108" s="1326"/>
      <c r="AC108" s="1326"/>
      <c r="AD108" s="1326"/>
      <c r="AE108" s="1324">
        <f t="shared" si="28"/>
        <v>0</v>
      </c>
      <c r="AF108" s="1324">
        <f t="shared" si="28"/>
        <v>0</v>
      </c>
      <c r="AG108" s="1324">
        <f t="shared" si="28"/>
        <v>0</v>
      </c>
      <c r="AH108" s="1324">
        <f t="shared" si="28"/>
        <v>0</v>
      </c>
      <c r="AI108" s="1324">
        <f t="shared" si="28"/>
        <v>0</v>
      </c>
      <c r="AJ108" s="1324">
        <f t="shared" si="28"/>
        <v>0</v>
      </c>
      <c r="AK108" s="1324">
        <f t="shared" si="27"/>
        <v>0</v>
      </c>
      <c r="AL108" s="1324">
        <f t="shared" si="27"/>
        <v>0</v>
      </c>
      <c r="AM108" s="1324">
        <f t="shared" si="27"/>
        <v>0</v>
      </c>
      <c r="AN108" s="1324">
        <f t="shared" si="27"/>
        <v>0</v>
      </c>
    </row>
    <row r="109" spans="2:40" ht="15" outlineLevel="1" x14ac:dyDescent="0.25">
      <c r="B109" s="1339"/>
      <c r="C109" s="1319"/>
      <c r="D109" s="1319"/>
      <c r="E109" s="1330"/>
      <c r="F109" s="1330"/>
      <c r="G109" s="1330"/>
      <c r="H109" s="1330"/>
      <c r="I109" s="1330"/>
      <c r="J109" s="1319"/>
      <c r="K109" s="1319"/>
      <c r="L109" s="1319"/>
      <c r="M109" s="1319"/>
      <c r="N109" s="1319"/>
      <c r="O109" s="1320">
        <f t="shared" si="25"/>
        <v>0</v>
      </c>
      <c r="P109" s="1315"/>
      <c r="Q109" s="1325"/>
      <c r="S109" s="1325"/>
      <c r="T109" s="1315"/>
      <c r="U109" s="1326"/>
      <c r="V109" s="1322"/>
      <c r="W109" s="1322"/>
      <c r="X109" s="1322"/>
      <c r="Y109" s="1326"/>
      <c r="Z109" s="1325"/>
      <c r="AA109" s="1326"/>
      <c r="AB109" s="1326"/>
      <c r="AC109" s="1326"/>
      <c r="AD109" s="1326"/>
      <c r="AE109" s="1324"/>
      <c r="AF109" s="1324"/>
      <c r="AG109" s="1324"/>
      <c r="AH109" s="1324"/>
      <c r="AI109" s="1324"/>
      <c r="AJ109" s="1324"/>
      <c r="AK109" s="1324"/>
      <c r="AL109" s="1324"/>
      <c r="AM109" s="1324"/>
      <c r="AN109" s="1324"/>
    </row>
    <row r="110" spans="2:40" ht="15" outlineLevel="1" x14ac:dyDescent="0.25">
      <c r="B110" s="1339"/>
      <c r="C110" s="1319"/>
      <c r="D110" s="1319"/>
      <c r="E110" s="1330"/>
      <c r="F110" s="1330"/>
      <c r="G110" s="1330"/>
      <c r="H110" s="1330"/>
      <c r="I110" s="1330"/>
      <c r="J110" s="1319"/>
      <c r="K110" s="1319"/>
      <c r="L110" s="1319"/>
      <c r="M110" s="1319"/>
      <c r="N110" s="1319"/>
      <c r="O110" s="1320">
        <f t="shared" si="25"/>
        <v>0</v>
      </c>
      <c r="P110" s="1315"/>
      <c r="Q110" s="1325"/>
      <c r="S110" s="1325"/>
      <c r="T110" s="1315"/>
      <c r="U110" s="1326"/>
      <c r="V110" s="1322"/>
      <c r="W110" s="1322"/>
      <c r="X110" s="1322"/>
      <c r="Y110" s="1326"/>
      <c r="Z110" s="1326"/>
      <c r="AA110" s="1325"/>
      <c r="AB110" s="1326"/>
      <c r="AC110" s="1326"/>
      <c r="AD110" s="1326"/>
      <c r="AE110" s="1324"/>
      <c r="AF110" s="1324"/>
      <c r="AG110" s="1324"/>
      <c r="AH110" s="1324"/>
      <c r="AI110" s="1324"/>
      <c r="AJ110" s="1324"/>
      <c r="AK110" s="1324"/>
      <c r="AL110" s="1324"/>
      <c r="AM110" s="1324"/>
      <c r="AN110" s="1324"/>
    </row>
    <row r="111" spans="2:40" ht="15" outlineLevel="1" x14ac:dyDescent="0.25">
      <c r="B111" s="1339"/>
      <c r="C111" s="1319"/>
      <c r="D111" s="1319"/>
      <c r="E111" s="1330"/>
      <c r="F111" s="1330"/>
      <c r="G111" s="1330"/>
      <c r="H111" s="1330"/>
      <c r="I111" s="1330"/>
      <c r="J111" s="1319"/>
      <c r="K111" s="1319"/>
      <c r="L111" s="1319"/>
      <c r="M111" s="1319"/>
      <c r="N111" s="1319"/>
      <c r="O111" s="1320">
        <f t="shared" si="25"/>
        <v>0</v>
      </c>
      <c r="P111" s="1315"/>
      <c r="Q111" s="1325"/>
      <c r="S111" s="1325"/>
      <c r="T111" s="1315"/>
      <c r="U111" s="1326"/>
      <c r="V111" s="1322"/>
      <c r="W111" s="1322"/>
      <c r="X111" s="1322"/>
      <c r="Y111" s="1326"/>
      <c r="Z111" s="1326"/>
      <c r="AA111" s="1325"/>
      <c r="AB111" s="1326"/>
      <c r="AC111" s="1326"/>
      <c r="AD111" s="1326"/>
      <c r="AE111" s="1324"/>
      <c r="AF111" s="1324"/>
      <c r="AG111" s="1324"/>
      <c r="AH111" s="1324"/>
      <c r="AI111" s="1324"/>
      <c r="AJ111" s="1324"/>
      <c r="AK111" s="1324"/>
      <c r="AL111" s="1324"/>
      <c r="AM111" s="1324"/>
      <c r="AN111" s="1324"/>
    </row>
    <row r="112" spans="2:40" ht="15" outlineLevel="1" x14ac:dyDescent="0.25">
      <c r="B112" s="1339"/>
      <c r="C112" s="1319"/>
      <c r="D112" s="1319"/>
      <c r="E112" s="1330"/>
      <c r="F112" s="1330"/>
      <c r="G112" s="1330"/>
      <c r="H112" s="1330"/>
      <c r="I112" s="1330"/>
      <c r="J112" s="1319"/>
      <c r="K112" s="1319"/>
      <c r="L112" s="1319"/>
      <c r="M112" s="1319"/>
      <c r="N112" s="1319"/>
      <c r="O112" s="1320">
        <f t="shared" si="25"/>
        <v>0</v>
      </c>
      <c r="P112" s="1315"/>
      <c r="Q112" s="1325"/>
      <c r="S112" s="1325"/>
      <c r="T112" s="1315"/>
      <c r="U112" s="1326"/>
      <c r="V112" s="1322"/>
      <c r="W112" s="1322"/>
      <c r="X112" s="1322"/>
      <c r="Y112" s="1326"/>
      <c r="Z112" s="1325"/>
      <c r="AA112" s="1326"/>
      <c r="AB112" s="1326"/>
      <c r="AC112" s="1326"/>
      <c r="AD112" s="1326"/>
      <c r="AE112" s="1324"/>
      <c r="AF112" s="1324"/>
      <c r="AG112" s="1324"/>
      <c r="AH112" s="1324"/>
      <c r="AI112" s="1324"/>
      <c r="AJ112" s="1324"/>
      <c r="AK112" s="1324"/>
      <c r="AL112" s="1324"/>
      <c r="AM112" s="1324"/>
      <c r="AN112" s="1324"/>
    </row>
    <row r="113" spans="1:40" ht="15" outlineLevel="1" x14ac:dyDescent="0.25">
      <c r="B113" s="1339"/>
      <c r="C113" s="1319"/>
      <c r="D113" s="1319"/>
      <c r="E113" s="1330"/>
      <c r="F113" s="1330"/>
      <c r="G113" s="1330"/>
      <c r="H113" s="1330"/>
      <c r="I113" s="1330"/>
      <c r="J113" s="1319"/>
      <c r="K113" s="1319"/>
      <c r="L113" s="1319"/>
      <c r="M113" s="1319"/>
      <c r="N113" s="1319"/>
      <c r="O113" s="1320">
        <f t="shared" si="25"/>
        <v>0</v>
      </c>
      <c r="P113" s="1315"/>
      <c r="Q113" s="1325"/>
      <c r="S113" s="1325"/>
      <c r="T113" s="1315"/>
      <c r="U113" s="1326"/>
      <c r="V113" s="1322"/>
      <c r="W113" s="1322"/>
      <c r="X113" s="1322"/>
      <c r="Y113" s="1325"/>
      <c r="Z113" s="1326"/>
      <c r="AA113" s="1326"/>
      <c r="AB113" s="1326"/>
      <c r="AC113" s="1326"/>
      <c r="AD113" s="1326"/>
      <c r="AE113" s="1324"/>
      <c r="AF113" s="1324"/>
      <c r="AG113" s="1324"/>
      <c r="AH113" s="1324"/>
      <c r="AI113" s="1324"/>
      <c r="AJ113" s="1324"/>
      <c r="AK113" s="1324"/>
      <c r="AL113" s="1324"/>
      <c r="AM113" s="1324"/>
      <c r="AN113" s="1324"/>
    </row>
    <row r="114" spans="1:40" ht="15" outlineLevel="1" x14ac:dyDescent="0.25">
      <c r="B114" s="1339"/>
      <c r="C114" s="1319"/>
      <c r="D114" s="1319"/>
      <c r="E114" s="1330"/>
      <c r="F114" s="1330"/>
      <c r="G114" s="1330"/>
      <c r="H114" s="1330"/>
      <c r="I114" s="1330"/>
      <c r="J114" s="1319"/>
      <c r="K114" s="1319"/>
      <c r="L114" s="1319"/>
      <c r="M114" s="1319"/>
      <c r="N114" s="1319"/>
      <c r="O114" s="1320">
        <f t="shared" si="25"/>
        <v>0</v>
      </c>
      <c r="P114" s="1315"/>
      <c r="Q114" s="1325"/>
      <c r="S114" s="1325"/>
      <c r="T114" s="1315"/>
      <c r="U114" s="1326"/>
      <c r="V114" s="1322"/>
      <c r="W114" s="1322"/>
      <c r="X114" s="1322"/>
      <c r="Y114" s="1325"/>
      <c r="Z114" s="1326"/>
      <c r="AA114" s="1326"/>
      <c r="AB114" s="1326"/>
      <c r="AC114" s="1326"/>
      <c r="AD114" s="1326"/>
      <c r="AE114" s="1324"/>
      <c r="AF114" s="1324"/>
      <c r="AG114" s="1324"/>
      <c r="AH114" s="1324"/>
      <c r="AI114" s="1324"/>
      <c r="AJ114" s="1324"/>
      <c r="AK114" s="1324"/>
      <c r="AL114" s="1324"/>
      <c r="AM114" s="1324"/>
      <c r="AN114" s="1324"/>
    </row>
    <row r="115" spans="1:40" ht="15" outlineLevel="1" x14ac:dyDescent="0.25">
      <c r="B115" s="1339"/>
      <c r="C115" s="1319"/>
      <c r="D115" s="1319"/>
      <c r="E115" s="1330"/>
      <c r="F115" s="1330"/>
      <c r="G115" s="1330"/>
      <c r="H115" s="1330"/>
      <c r="I115" s="1330"/>
      <c r="J115" s="1319"/>
      <c r="K115" s="1319"/>
      <c r="L115" s="1319"/>
      <c r="M115" s="1319"/>
      <c r="N115" s="1319"/>
      <c r="O115" s="1320">
        <f t="shared" si="25"/>
        <v>0</v>
      </c>
      <c r="P115" s="1315"/>
      <c r="Q115" s="1325"/>
      <c r="S115" s="1325"/>
      <c r="T115" s="1315"/>
      <c r="U115" s="1326"/>
      <c r="V115" s="1322"/>
      <c r="W115" s="1322"/>
      <c r="X115" s="1322"/>
      <c r="Y115" s="1326"/>
      <c r="Z115" s="1326"/>
      <c r="AA115" s="1326"/>
      <c r="AB115" s="1325"/>
      <c r="AC115" s="1326"/>
      <c r="AD115" s="1326"/>
      <c r="AE115" s="1324"/>
      <c r="AF115" s="1324"/>
      <c r="AG115" s="1324"/>
      <c r="AH115" s="1324"/>
      <c r="AI115" s="1324"/>
      <c r="AJ115" s="1324"/>
      <c r="AK115" s="1324"/>
      <c r="AL115" s="1324"/>
      <c r="AM115" s="1324"/>
      <c r="AN115" s="1324"/>
    </row>
    <row r="116" spans="1:40" ht="15" outlineLevel="1" x14ac:dyDescent="0.25">
      <c r="B116" s="1339"/>
      <c r="C116" s="1319"/>
      <c r="D116" s="1319"/>
      <c r="E116" s="1330"/>
      <c r="F116" s="1330"/>
      <c r="G116" s="1330"/>
      <c r="H116" s="1330"/>
      <c r="I116" s="1330"/>
      <c r="J116" s="1319"/>
      <c r="K116" s="1319"/>
      <c r="L116" s="1319"/>
      <c r="M116" s="1319"/>
      <c r="N116" s="1319"/>
      <c r="O116" s="1320">
        <f t="shared" si="25"/>
        <v>0</v>
      </c>
      <c r="P116" s="1315"/>
      <c r="Q116" s="1325"/>
      <c r="S116" s="1325"/>
      <c r="T116" s="1315"/>
      <c r="U116" s="1326"/>
      <c r="V116" s="1322"/>
      <c r="W116" s="1322"/>
      <c r="X116" s="1322"/>
      <c r="Y116" s="1326"/>
      <c r="Z116" s="1326"/>
      <c r="AA116" s="1326"/>
      <c r="AB116" s="1325"/>
      <c r="AC116" s="1326"/>
      <c r="AD116" s="1326"/>
      <c r="AE116" s="1324"/>
      <c r="AF116" s="1324"/>
      <c r="AG116" s="1324"/>
      <c r="AH116" s="1324"/>
      <c r="AI116" s="1324"/>
      <c r="AJ116" s="1324"/>
      <c r="AK116" s="1324"/>
      <c r="AL116" s="1324"/>
      <c r="AM116" s="1324"/>
      <c r="AN116" s="1324"/>
    </row>
    <row r="117" spans="1:40" ht="15" outlineLevel="1" x14ac:dyDescent="0.25">
      <c r="B117" s="1339"/>
      <c r="C117" s="1319"/>
      <c r="D117" s="1319"/>
      <c r="E117" s="1330"/>
      <c r="F117" s="1330"/>
      <c r="G117" s="1330"/>
      <c r="H117" s="1330"/>
      <c r="I117" s="1330"/>
      <c r="J117" s="1319"/>
      <c r="K117" s="1319"/>
      <c r="L117" s="1319"/>
      <c r="M117" s="1319"/>
      <c r="N117" s="1319"/>
      <c r="O117" s="1320">
        <f t="shared" si="25"/>
        <v>0</v>
      </c>
      <c r="P117" s="1315"/>
      <c r="Q117" s="1325"/>
      <c r="S117" s="1325"/>
      <c r="T117" s="1315"/>
      <c r="U117" s="1326"/>
      <c r="V117" s="1322"/>
      <c r="W117" s="1322"/>
      <c r="X117" s="1322"/>
      <c r="Y117" s="1326"/>
      <c r="Z117" s="1326"/>
      <c r="AA117" s="1326"/>
      <c r="AB117" s="1325"/>
      <c r="AC117" s="1326"/>
      <c r="AD117" s="1326"/>
      <c r="AE117" s="1324"/>
      <c r="AF117" s="1324"/>
      <c r="AG117" s="1324"/>
      <c r="AH117" s="1324"/>
      <c r="AI117" s="1324"/>
      <c r="AJ117" s="1324"/>
      <c r="AK117" s="1324"/>
      <c r="AL117" s="1324"/>
      <c r="AM117" s="1324"/>
      <c r="AN117" s="1324"/>
    </row>
    <row r="118" spans="1:40" ht="15" outlineLevel="1" x14ac:dyDescent="0.25">
      <c r="B118" s="1339"/>
      <c r="C118" s="1319"/>
      <c r="D118" s="1319"/>
      <c r="E118" s="1330"/>
      <c r="F118" s="1330"/>
      <c r="G118" s="1330"/>
      <c r="H118" s="1330"/>
      <c r="I118" s="1330"/>
      <c r="J118" s="1319"/>
      <c r="K118" s="1319"/>
      <c r="L118" s="1319"/>
      <c r="M118" s="1319"/>
      <c r="N118" s="1319"/>
      <c r="O118" s="1320">
        <f t="shared" si="25"/>
        <v>0</v>
      </c>
      <c r="P118" s="1315"/>
      <c r="Q118" s="1325"/>
      <c r="S118" s="1325"/>
      <c r="T118" s="1315"/>
      <c r="U118" s="1326"/>
      <c r="V118" s="1322"/>
      <c r="W118" s="1322"/>
      <c r="X118" s="1322"/>
      <c r="Y118" s="1325"/>
      <c r="Z118" s="1326"/>
      <c r="AA118" s="1326"/>
      <c r="AB118" s="1326"/>
      <c r="AC118" s="1326"/>
      <c r="AD118" s="1326"/>
      <c r="AE118" s="1324"/>
      <c r="AF118" s="1324"/>
      <c r="AG118" s="1324"/>
      <c r="AH118" s="1324"/>
      <c r="AI118" s="1324"/>
      <c r="AJ118" s="1324"/>
      <c r="AK118" s="1324"/>
      <c r="AL118" s="1324"/>
      <c r="AM118" s="1324"/>
      <c r="AN118" s="1324"/>
    </row>
    <row r="119" spans="1:40" ht="15" outlineLevel="1" x14ac:dyDescent="0.25">
      <c r="B119" s="1339"/>
      <c r="C119" s="1319"/>
      <c r="D119" s="1319"/>
      <c r="E119" s="1330"/>
      <c r="F119" s="1330"/>
      <c r="G119" s="1330"/>
      <c r="H119" s="1330"/>
      <c r="I119" s="1330"/>
      <c r="J119" s="1319"/>
      <c r="K119" s="1319"/>
      <c r="L119" s="1319"/>
      <c r="M119" s="1319"/>
      <c r="N119" s="1319"/>
      <c r="O119" s="1320">
        <f t="shared" si="25"/>
        <v>0</v>
      </c>
      <c r="P119" s="1315"/>
      <c r="Q119" s="1325"/>
      <c r="S119" s="1325"/>
      <c r="T119" s="1315"/>
      <c r="U119" s="1326"/>
      <c r="V119" s="1322"/>
      <c r="W119" s="1322"/>
      <c r="X119" s="1322"/>
      <c r="Y119" s="1326"/>
      <c r="Z119" s="1326"/>
      <c r="AA119" s="1325"/>
      <c r="AB119" s="1326"/>
      <c r="AC119" s="1326"/>
      <c r="AD119" s="1326"/>
      <c r="AE119" s="1324"/>
      <c r="AF119" s="1324"/>
      <c r="AG119" s="1324"/>
      <c r="AH119" s="1324"/>
      <c r="AI119" s="1324"/>
      <c r="AJ119" s="1324"/>
      <c r="AK119" s="1324"/>
      <c r="AL119" s="1324"/>
      <c r="AM119" s="1324"/>
      <c r="AN119" s="1324"/>
    </row>
    <row r="120" spans="1:40" ht="15" outlineLevel="1" x14ac:dyDescent="0.25">
      <c r="B120" s="1339"/>
      <c r="C120" s="1319"/>
      <c r="D120" s="1319"/>
      <c r="E120" s="1330"/>
      <c r="F120" s="1330"/>
      <c r="G120" s="1330"/>
      <c r="H120" s="1330"/>
      <c r="I120" s="1330"/>
      <c r="J120" s="1319"/>
      <c r="K120" s="1319"/>
      <c r="L120" s="1319"/>
      <c r="M120" s="1319"/>
      <c r="N120" s="1319"/>
      <c r="O120" s="1320">
        <f t="shared" si="25"/>
        <v>0</v>
      </c>
      <c r="P120" s="1315"/>
      <c r="Q120" s="1325"/>
      <c r="S120" s="1325"/>
      <c r="T120" s="1315"/>
      <c r="U120" s="1326"/>
      <c r="V120" s="1322"/>
      <c r="W120" s="1322"/>
      <c r="X120" s="1322"/>
      <c r="Y120" s="1326"/>
      <c r="Z120" s="1325"/>
      <c r="AA120" s="1326"/>
      <c r="AB120" s="1326"/>
      <c r="AC120" s="1326"/>
      <c r="AD120" s="1326"/>
      <c r="AE120" s="1324"/>
      <c r="AF120" s="1324"/>
      <c r="AG120" s="1324"/>
      <c r="AH120" s="1324"/>
      <c r="AI120" s="1324"/>
      <c r="AJ120" s="1324"/>
      <c r="AK120" s="1324"/>
      <c r="AL120" s="1324"/>
      <c r="AM120" s="1324"/>
      <c r="AN120" s="1324"/>
    </row>
    <row r="121" spans="1:40" ht="15" outlineLevel="1" x14ac:dyDescent="0.25">
      <c r="B121" s="1339"/>
      <c r="C121" s="1319"/>
      <c r="D121" s="1319"/>
      <c r="E121" s="1330"/>
      <c r="F121" s="1330"/>
      <c r="G121" s="1330"/>
      <c r="H121" s="1330"/>
      <c r="I121" s="1330"/>
      <c r="J121" s="1319"/>
      <c r="K121" s="1319"/>
      <c r="L121" s="1319"/>
      <c r="M121" s="1319"/>
      <c r="N121" s="1319"/>
      <c r="O121" s="1320">
        <f t="shared" si="25"/>
        <v>0</v>
      </c>
      <c r="P121" s="1315"/>
      <c r="Q121" s="1325"/>
      <c r="S121" s="1325"/>
      <c r="T121" s="1315"/>
      <c r="U121" s="1326"/>
      <c r="V121" s="1322"/>
      <c r="W121" s="1322"/>
      <c r="X121" s="1322"/>
      <c r="Y121" s="1326"/>
      <c r="Z121" s="1325"/>
      <c r="AA121" s="1326"/>
      <c r="AB121" s="1326"/>
      <c r="AC121" s="1326"/>
      <c r="AD121" s="1326"/>
      <c r="AE121" s="1324"/>
      <c r="AF121" s="1324"/>
      <c r="AG121" s="1324"/>
      <c r="AH121" s="1324"/>
      <c r="AI121" s="1324"/>
      <c r="AJ121" s="1324"/>
      <c r="AK121" s="1324"/>
      <c r="AL121" s="1324"/>
      <c r="AM121" s="1324"/>
      <c r="AN121" s="1324"/>
    </row>
    <row r="122" spans="1:40" s="1368" customFormat="1" ht="15" x14ac:dyDescent="0.25">
      <c r="A122" s="1364">
        <f>+A108+1</f>
        <v>1</v>
      </c>
      <c r="B122" s="1355" t="s">
        <v>714</v>
      </c>
      <c r="C122" s="1356">
        <f>+SUM(C123:C126)</f>
        <v>0</v>
      </c>
      <c r="D122" s="1356">
        <f t="shared" ref="D122:N122" si="29">+SUM(D123:D126)</f>
        <v>0</v>
      </c>
      <c r="E122" s="1356">
        <f t="shared" si="29"/>
        <v>0</v>
      </c>
      <c r="F122" s="1356">
        <f t="shared" si="29"/>
        <v>0</v>
      </c>
      <c r="G122" s="1356">
        <f t="shared" si="29"/>
        <v>0</v>
      </c>
      <c r="H122" s="1356">
        <f t="shared" si="29"/>
        <v>0</v>
      </c>
      <c r="I122" s="1356">
        <f>+SUM(I123:I126)</f>
        <v>0</v>
      </c>
      <c r="J122" s="1356">
        <f t="shared" si="29"/>
        <v>0</v>
      </c>
      <c r="K122" s="1356">
        <f t="shared" si="29"/>
        <v>0</v>
      </c>
      <c r="L122" s="1356">
        <f t="shared" si="29"/>
        <v>0</v>
      </c>
      <c r="M122" s="1356">
        <f t="shared" si="29"/>
        <v>0</v>
      </c>
      <c r="N122" s="1356">
        <f t="shared" si="29"/>
        <v>0</v>
      </c>
      <c r="O122" s="1356">
        <f t="shared" si="18"/>
        <v>0</v>
      </c>
      <c r="P122" s="1356"/>
      <c r="Q122" s="1365"/>
      <c r="R122" s="1364"/>
      <c r="S122" s="1365"/>
      <c r="T122" s="1356"/>
      <c r="U122" s="1366"/>
      <c r="V122" s="1366"/>
      <c r="W122" s="1366"/>
      <c r="X122" s="1366"/>
      <c r="Y122" s="1366"/>
      <c r="Z122" s="1366"/>
      <c r="AA122" s="1366"/>
      <c r="AB122" s="1366"/>
      <c r="AC122" s="1366"/>
      <c r="AD122" s="1366"/>
      <c r="AE122" s="1367">
        <f t="shared" si="28"/>
        <v>0</v>
      </c>
      <c r="AF122" s="1367">
        <f t="shared" si="28"/>
        <v>0</v>
      </c>
      <c r="AG122" s="1367">
        <f t="shared" si="28"/>
        <v>0</v>
      </c>
      <c r="AH122" s="1367">
        <f t="shared" si="28"/>
        <v>0</v>
      </c>
      <c r="AI122" s="1367">
        <f t="shared" si="28"/>
        <v>0</v>
      </c>
      <c r="AJ122" s="1367">
        <f t="shared" si="28"/>
        <v>0</v>
      </c>
      <c r="AK122" s="1367">
        <f t="shared" si="27"/>
        <v>0</v>
      </c>
      <c r="AL122" s="1367">
        <f t="shared" si="27"/>
        <v>0</v>
      </c>
      <c r="AM122" s="1367">
        <f t="shared" si="27"/>
        <v>0</v>
      </c>
      <c r="AN122" s="1367">
        <f t="shared" si="27"/>
        <v>0</v>
      </c>
    </row>
    <row r="123" spans="1:40" outlineLevel="1" x14ac:dyDescent="0.2">
      <c r="B123" s="1339"/>
      <c r="C123" s="1319"/>
      <c r="D123" s="1319"/>
      <c r="E123" s="1319"/>
      <c r="F123" s="1319"/>
      <c r="G123" s="1319"/>
      <c r="H123" s="1330"/>
      <c r="I123" s="1330"/>
      <c r="J123" s="1330"/>
      <c r="K123" s="1330"/>
      <c r="L123" s="1319"/>
      <c r="M123" s="1319"/>
      <c r="N123" s="1319"/>
      <c r="O123" s="1315">
        <f t="shared" si="18"/>
        <v>0</v>
      </c>
      <c r="P123" s="1315"/>
      <c r="Q123" s="1325"/>
      <c r="R123" s="1310"/>
      <c r="S123" s="1325"/>
      <c r="T123" s="1315"/>
      <c r="U123" s="1326"/>
      <c r="V123" s="1326"/>
      <c r="W123" s="1322"/>
      <c r="X123" s="1322"/>
      <c r="Y123" s="1322"/>
      <c r="Z123" s="1322"/>
      <c r="AA123" s="1326"/>
      <c r="AB123" s="1326"/>
      <c r="AC123" s="1326"/>
      <c r="AD123" s="1326"/>
      <c r="AE123" s="1324">
        <f t="shared" si="28"/>
        <v>0</v>
      </c>
      <c r="AF123" s="1324">
        <f t="shared" si="28"/>
        <v>0</v>
      </c>
      <c r="AG123" s="1324">
        <f t="shared" si="28"/>
        <v>0</v>
      </c>
      <c r="AH123" s="1324">
        <f t="shared" si="28"/>
        <v>0</v>
      </c>
      <c r="AI123" s="1324">
        <f t="shared" si="28"/>
        <v>0</v>
      </c>
      <c r="AJ123" s="1324">
        <f t="shared" si="28"/>
        <v>0</v>
      </c>
      <c r="AK123" s="1324">
        <f t="shared" si="27"/>
        <v>0</v>
      </c>
      <c r="AL123" s="1324">
        <f t="shared" si="27"/>
        <v>0</v>
      </c>
      <c r="AM123" s="1324">
        <f t="shared" si="27"/>
        <v>0</v>
      </c>
      <c r="AN123" s="1324">
        <f t="shared" si="27"/>
        <v>0</v>
      </c>
    </row>
    <row r="124" spans="1:40" outlineLevel="1" x14ac:dyDescent="0.2">
      <c r="B124" s="1339"/>
      <c r="C124" s="1319"/>
      <c r="D124" s="1319"/>
      <c r="E124" s="1319"/>
      <c r="F124" s="1319"/>
      <c r="G124" s="1319"/>
      <c r="H124" s="1330"/>
      <c r="I124" s="1330"/>
      <c r="J124" s="1330"/>
      <c r="K124" s="1330"/>
      <c r="L124" s="1319"/>
      <c r="M124" s="1319"/>
      <c r="N124" s="1319"/>
      <c r="O124" s="1315">
        <f t="shared" si="18"/>
        <v>0</v>
      </c>
      <c r="P124" s="1315"/>
      <c r="Q124" s="1325"/>
      <c r="R124" s="1310"/>
      <c r="S124" s="1325"/>
      <c r="T124" s="1315"/>
      <c r="U124" s="1326"/>
      <c r="V124" s="1322"/>
      <c r="W124" s="1326"/>
      <c r="X124" s="1322"/>
      <c r="Y124" s="1322"/>
      <c r="Z124" s="1326"/>
      <c r="AA124" s="1326"/>
      <c r="AB124" s="1326"/>
      <c r="AC124" s="1326"/>
      <c r="AD124" s="1326"/>
      <c r="AE124" s="1324">
        <f t="shared" si="28"/>
        <v>0</v>
      </c>
      <c r="AF124" s="1324">
        <f t="shared" si="28"/>
        <v>0</v>
      </c>
      <c r="AG124" s="1324">
        <f t="shared" si="28"/>
        <v>0</v>
      </c>
      <c r="AH124" s="1324">
        <f t="shared" si="28"/>
        <v>0</v>
      </c>
      <c r="AI124" s="1324">
        <f t="shared" si="28"/>
        <v>0</v>
      </c>
      <c r="AJ124" s="1324">
        <f t="shared" si="28"/>
        <v>0</v>
      </c>
      <c r="AK124" s="1324">
        <f t="shared" si="27"/>
        <v>0</v>
      </c>
      <c r="AL124" s="1324">
        <f t="shared" si="27"/>
        <v>0</v>
      </c>
      <c r="AM124" s="1324">
        <f t="shared" si="27"/>
        <v>0</v>
      </c>
      <c r="AN124" s="1324">
        <f t="shared" si="27"/>
        <v>0</v>
      </c>
    </row>
    <row r="125" spans="1:40" outlineLevel="1" x14ac:dyDescent="0.2">
      <c r="B125" s="1339"/>
      <c r="C125" s="1319"/>
      <c r="D125" s="1319"/>
      <c r="E125" s="1319"/>
      <c r="F125" s="1319"/>
      <c r="G125" s="1319"/>
      <c r="H125" s="1330"/>
      <c r="I125" s="1330"/>
      <c r="J125" s="1330"/>
      <c r="K125" s="1330"/>
      <c r="L125" s="1319"/>
      <c r="M125" s="1319"/>
      <c r="N125" s="1319"/>
      <c r="O125" s="1315">
        <f t="shared" si="18"/>
        <v>0</v>
      </c>
      <c r="P125" s="1315"/>
      <c r="Q125" s="1325"/>
      <c r="R125" s="1310"/>
      <c r="S125" s="1325"/>
      <c r="T125" s="1315"/>
      <c r="U125" s="1326"/>
      <c r="V125" s="1322"/>
      <c r="W125" s="1322"/>
      <c r="X125" s="1322"/>
      <c r="Y125" s="1322"/>
      <c r="Z125" s="1326"/>
      <c r="AA125" s="1326"/>
      <c r="AB125" s="1326"/>
      <c r="AC125" s="1326"/>
      <c r="AD125" s="1326"/>
      <c r="AE125" s="1324">
        <f t="shared" si="28"/>
        <v>0</v>
      </c>
      <c r="AF125" s="1324">
        <f t="shared" si="28"/>
        <v>0</v>
      </c>
      <c r="AG125" s="1324">
        <f t="shared" si="28"/>
        <v>0</v>
      </c>
      <c r="AH125" s="1324">
        <f t="shared" si="28"/>
        <v>0</v>
      </c>
      <c r="AI125" s="1324">
        <f t="shared" si="28"/>
        <v>0</v>
      </c>
      <c r="AJ125" s="1324">
        <f t="shared" si="28"/>
        <v>0</v>
      </c>
      <c r="AK125" s="1324">
        <f t="shared" si="27"/>
        <v>0</v>
      </c>
      <c r="AL125" s="1324">
        <f t="shared" si="27"/>
        <v>0</v>
      </c>
      <c r="AM125" s="1324">
        <f t="shared" si="27"/>
        <v>0</v>
      </c>
      <c r="AN125" s="1324">
        <f t="shared" si="27"/>
        <v>0</v>
      </c>
    </row>
    <row r="126" spans="1:40" ht="15" customHeight="1" outlineLevel="1" x14ac:dyDescent="0.2">
      <c r="B126" s="1339"/>
      <c r="C126" s="1319"/>
      <c r="D126" s="1319"/>
      <c r="E126" s="1319"/>
      <c r="F126" s="1319"/>
      <c r="G126" s="1319"/>
      <c r="H126" s="1330"/>
      <c r="I126" s="1330"/>
      <c r="J126" s="1330"/>
      <c r="K126" s="1330"/>
      <c r="L126" s="1319"/>
      <c r="M126" s="1319"/>
      <c r="N126" s="1319"/>
      <c r="O126" s="1315">
        <f t="shared" si="18"/>
        <v>0</v>
      </c>
      <c r="P126" s="1315"/>
      <c r="Q126" s="1325"/>
      <c r="R126" s="1310"/>
      <c r="S126" s="1325"/>
      <c r="T126" s="1315"/>
      <c r="U126" s="1326"/>
      <c r="V126" s="1326"/>
      <c r="W126" s="1322"/>
      <c r="X126" s="1322"/>
      <c r="Y126" s="1322"/>
      <c r="Z126" s="1326"/>
      <c r="AA126" s="1326"/>
      <c r="AB126" s="1326"/>
      <c r="AC126" s="1326"/>
      <c r="AD126" s="1326"/>
      <c r="AE126" s="1324">
        <f t="shared" si="28"/>
        <v>0</v>
      </c>
      <c r="AF126" s="1324">
        <f t="shared" si="28"/>
        <v>0</v>
      </c>
      <c r="AG126" s="1324">
        <f t="shared" si="28"/>
        <v>0</v>
      </c>
      <c r="AH126" s="1324">
        <f t="shared" si="28"/>
        <v>0</v>
      </c>
      <c r="AI126" s="1324">
        <f t="shared" si="28"/>
        <v>0</v>
      </c>
      <c r="AJ126" s="1324">
        <f t="shared" si="28"/>
        <v>0</v>
      </c>
      <c r="AK126" s="1324">
        <f t="shared" si="27"/>
        <v>0</v>
      </c>
      <c r="AL126" s="1324">
        <f t="shared" si="27"/>
        <v>0</v>
      </c>
      <c r="AM126" s="1324">
        <f t="shared" si="27"/>
        <v>0</v>
      </c>
      <c r="AN126" s="1324">
        <f t="shared" si="27"/>
        <v>0</v>
      </c>
    </row>
    <row r="127" spans="1:40" outlineLevel="1" x14ac:dyDescent="0.2">
      <c r="B127" s="1339"/>
      <c r="C127" s="1319"/>
      <c r="D127" s="1319"/>
      <c r="E127" s="1319"/>
      <c r="F127" s="1319"/>
      <c r="G127" s="1319"/>
      <c r="H127" s="1319"/>
      <c r="I127" s="1319"/>
      <c r="J127" s="1319"/>
      <c r="K127" s="1319"/>
      <c r="L127" s="1319"/>
      <c r="M127" s="1319"/>
      <c r="N127" s="1319"/>
      <c r="O127" s="1315">
        <f t="shared" si="18"/>
        <v>0</v>
      </c>
      <c r="P127" s="1315"/>
      <c r="Q127" s="1325"/>
      <c r="R127" s="1310"/>
      <c r="S127" s="1325"/>
      <c r="T127" s="1315"/>
      <c r="U127" s="1326"/>
      <c r="V127" s="1326"/>
      <c r="W127" s="1326"/>
      <c r="X127" s="1326"/>
      <c r="Y127" s="1326"/>
      <c r="Z127" s="1326"/>
      <c r="AA127" s="1326"/>
      <c r="AB127" s="1326"/>
      <c r="AC127" s="1326"/>
      <c r="AD127" s="1326"/>
      <c r="AE127" s="1324">
        <f t="shared" si="28"/>
        <v>0</v>
      </c>
      <c r="AF127" s="1324">
        <f t="shared" si="28"/>
        <v>0</v>
      </c>
      <c r="AG127" s="1324">
        <f t="shared" si="28"/>
        <v>0</v>
      </c>
      <c r="AH127" s="1324">
        <f t="shared" si="28"/>
        <v>0</v>
      </c>
      <c r="AI127" s="1324">
        <f t="shared" si="28"/>
        <v>0</v>
      </c>
      <c r="AJ127" s="1324">
        <f t="shared" si="28"/>
        <v>0</v>
      </c>
      <c r="AK127" s="1324">
        <f t="shared" si="27"/>
        <v>0</v>
      </c>
      <c r="AL127" s="1324">
        <f t="shared" si="27"/>
        <v>0</v>
      </c>
      <c r="AM127" s="1324">
        <f t="shared" si="27"/>
        <v>0</v>
      </c>
      <c r="AN127" s="1324">
        <f t="shared" si="27"/>
        <v>0</v>
      </c>
    </row>
    <row r="128" spans="1:40" s="1359" customFormat="1" ht="15" x14ac:dyDescent="0.25">
      <c r="A128" s="1354">
        <f>+A127+1</f>
        <v>1</v>
      </c>
      <c r="B128" s="1364" t="s">
        <v>715</v>
      </c>
      <c r="C128" s="1356">
        <f t="shared" ref="C128:N128" si="30">SUM(C129:C141)</f>
        <v>0</v>
      </c>
      <c r="D128" s="1356">
        <f t="shared" si="30"/>
        <v>0</v>
      </c>
      <c r="E128" s="1356">
        <f t="shared" si="30"/>
        <v>20331.739750000001</v>
      </c>
      <c r="F128" s="1356">
        <f t="shared" si="30"/>
        <v>54749</v>
      </c>
      <c r="G128" s="1356">
        <f t="shared" si="30"/>
        <v>2000</v>
      </c>
      <c r="H128" s="1356">
        <f t="shared" si="30"/>
        <v>11571</v>
      </c>
      <c r="I128" s="1356">
        <f t="shared" si="30"/>
        <v>0</v>
      </c>
      <c r="J128" s="1356">
        <f t="shared" si="30"/>
        <v>0</v>
      </c>
      <c r="K128" s="1356">
        <f t="shared" si="30"/>
        <v>26334</v>
      </c>
      <c r="L128" s="1356">
        <f t="shared" si="30"/>
        <v>0</v>
      </c>
      <c r="M128" s="1356">
        <f t="shared" si="30"/>
        <v>0</v>
      </c>
      <c r="N128" s="1356">
        <f t="shared" si="30"/>
        <v>0</v>
      </c>
      <c r="O128" s="1356">
        <f t="shared" si="18"/>
        <v>114985.73975000001</v>
      </c>
      <c r="P128" s="1357"/>
      <c r="Q128" s="1358"/>
      <c r="S128" s="1358"/>
      <c r="T128" s="1357"/>
      <c r="U128" s="1360"/>
      <c r="V128" s="1360"/>
      <c r="W128" s="1360"/>
      <c r="X128" s="1360"/>
      <c r="Y128" s="1360"/>
      <c r="Z128" s="1360"/>
      <c r="AA128" s="1360"/>
      <c r="AB128" s="1360"/>
      <c r="AC128" s="1360"/>
      <c r="AD128" s="1360"/>
      <c r="AE128" s="1361">
        <f t="shared" si="28"/>
        <v>0</v>
      </c>
      <c r="AF128" s="1361">
        <f t="shared" si="28"/>
        <v>0</v>
      </c>
      <c r="AG128" s="1361">
        <f t="shared" si="28"/>
        <v>0</v>
      </c>
      <c r="AH128" s="1361">
        <f t="shared" si="28"/>
        <v>0</v>
      </c>
      <c r="AI128" s="1361">
        <f t="shared" si="28"/>
        <v>0</v>
      </c>
      <c r="AJ128" s="1361">
        <f t="shared" si="28"/>
        <v>0</v>
      </c>
      <c r="AK128" s="1361">
        <f t="shared" si="27"/>
        <v>0</v>
      </c>
      <c r="AL128" s="1361">
        <f t="shared" si="27"/>
        <v>0</v>
      </c>
      <c r="AM128" s="1361">
        <f t="shared" si="27"/>
        <v>0</v>
      </c>
      <c r="AN128" s="1361">
        <f t="shared" si="27"/>
        <v>0</v>
      </c>
    </row>
    <row r="129" spans="1:40" ht="15" outlineLevel="1" x14ac:dyDescent="0.25">
      <c r="A129" s="1310">
        <v>1</v>
      </c>
      <c r="B129" s="1369" t="s">
        <v>830</v>
      </c>
      <c r="C129" s="1319"/>
      <c r="D129" s="1319"/>
      <c r="E129" s="1319">
        <v>8400</v>
      </c>
      <c r="F129" s="1319"/>
      <c r="G129" s="1319"/>
      <c r="H129" s="1290"/>
      <c r="I129" s="1343"/>
      <c r="J129" s="1330"/>
      <c r="K129" s="1330"/>
      <c r="L129" s="1330"/>
      <c r="M129" s="1330"/>
      <c r="N129" s="1330"/>
      <c r="O129" s="1320">
        <f t="shared" ref="O129:O141" si="31">SUM(C129:N129)</f>
        <v>8400</v>
      </c>
      <c r="P129" s="1315"/>
      <c r="Q129" s="1325">
        <v>42705</v>
      </c>
      <c r="R129" s="1310" t="s">
        <v>702</v>
      </c>
      <c r="S129" s="1325"/>
      <c r="T129" s="1315"/>
      <c r="U129" s="1326"/>
      <c r="V129" s="1322"/>
      <c r="W129" s="1322"/>
      <c r="Y129" s="1325">
        <v>44561</v>
      </c>
      <c r="Z129" s="1326"/>
      <c r="AA129" s="1326"/>
      <c r="AB129" s="1326"/>
      <c r="AC129" s="1326"/>
      <c r="AD129" s="1326"/>
      <c r="AE129" s="1324">
        <f t="shared" si="28"/>
        <v>0</v>
      </c>
      <c r="AF129" s="1324">
        <f t="shared" si="28"/>
        <v>0</v>
      </c>
      <c r="AG129" s="1324">
        <f t="shared" si="28"/>
        <v>0</v>
      </c>
      <c r="AH129" s="1324">
        <f t="shared" si="28"/>
        <v>0</v>
      </c>
      <c r="AI129" s="1324">
        <f t="shared" si="28"/>
        <v>0</v>
      </c>
      <c r="AJ129" s="1324">
        <f t="shared" si="28"/>
        <v>0</v>
      </c>
      <c r="AK129" s="1324">
        <f t="shared" si="27"/>
        <v>0</v>
      </c>
      <c r="AL129" s="1324">
        <f t="shared" si="27"/>
        <v>0</v>
      </c>
      <c r="AM129" s="1324">
        <f t="shared" si="27"/>
        <v>0</v>
      </c>
      <c r="AN129" s="1324">
        <f t="shared" si="27"/>
        <v>0</v>
      </c>
    </row>
    <row r="130" spans="1:40" ht="15" outlineLevel="1" x14ac:dyDescent="0.25">
      <c r="A130" s="1310">
        <v>2</v>
      </c>
      <c r="B130" s="1370" t="s">
        <v>716</v>
      </c>
      <c r="C130" s="1319"/>
      <c r="D130" s="1319"/>
      <c r="E130" s="1319"/>
      <c r="F130" s="1319"/>
      <c r="G130" s="1319"/>
      <c r="H130" s="1290"/>
      <c r="I130" s="1343"/>
      <c r="J130" s="1330"/>
      <c r="K130" s="1330">
        <f>3167*2</f>
        <v>6334</v>
      </c>
      <c r="L130" s="1330"/>
      <c r="M130" s="1330"/>
      <c r="N130" s="1330"/>
      <c r="O130" s="1320">
        <f t="shared" si="31"/>
        <v>6334</v>
      </c>
      <c r="P130" s="1315"/>
      <c r="Q130" s="1325"/>
      <c r="R130" s="1310"/>
      <c r="S130" s="1325"/>
      <c r="T130" s="1315"/>
      <c r="U130" s="1326"/>
      <c r="V130" s="1322"/>
      <c r="W130" s="1322"/>
      <c r="Y130" s="1325"/>
      <c r="Z130" s="1326"/>
      <c r="AA130" s="1326"/>
      <c r="AB130" s="1326"/>
      <c r="AC130" s="1326"/>
      <c r="AD130" s="1326"/>
      <c r="AE130" s="1324"/>
      <c r="AF130" s="1324"/>
      <c r="AG130" s="1324"/>
      <c r="AH130" s="1324"/>
      <c r="AI130" s="1324"/>
      <c r="AJ130" s="1324"/>
      <c r="AK130" s="1324"/>
      <c r="AL130" s="1324"/>
      <c r="AM130" s="1324"/>
      <c r="AN130" s="1324"/>
    </row>
    <row r="131" spans="1:40" ht="15" outlineLevel="1" x14ac:dyDescent="0.25">
      <c r="A131" s="1310">
        <v>3</v>
      </c>
      <c r="B131" s="1369" t="s">
        <v>831</v>
      </c>
      <c r="C131" s="1319"/>
      <c r="D131" s="1319"/>
      <c r="E131" s="1319"/>
      <c r="F131" s="1319"/>
      <c r="G131" s="1319">
        <f>500*2*2</f>
        <v>2000</v>
      </c>
      <c r="H131" s="1290"/>
      <c r="I131" s="1343"/>
      <c r="J131" s="1330"/>
      <c r="K131" s="1330"/>
      <c r="L131" s="1330"/>
      <c r="M131" s="1330"/>
      <c r="N131" s="1330"/>
      <c r="O131" s="1320">
        <f t="shared" si="31"/>
        <v>2000</v>
      </c>
      <c r="P131" s="1315"/>
      <c r="Q131" s="1325"/>
      <c r="R131" s="1310"/>
      <c r="S131" s="1325"/>
      <c r="T131" s="1315"/>
      <c r="U131" s="1326"/>
      <c r="V131" s="1322"/>
      <c r="W131" s="1322"/>
      <c r="Y131" s="1325"/>
      <c r="Z131" s="1326"/>
      <c r="AA131" s="1371"/>
      <c r="AB131" s="1326"/>
      <c r="AC131" s="1326"/>
      <c r="AD131" s="1326"/>
      <c r="AE131" s="1324"/>
      <c r="AF131" s="1324"/>
      <c r="AG131" s="1324"/>
      <c r="AH131" s="1324"/>
      <c r="AI131" s="1324"/>
      <c r="AJ131" s="1324"/>
      <c r="AK131" s="1324"/>
      <c r="AL131" s="1324"/>
      <c r="AM131" s="1324"/>
      <c r="AN131" s="1324"/>
    </row>
    <row r="132" spans="1:40" ht="15" outlineLevel="1" x14ac:dyDescent="0.25">
      <c r="A132" s="1310">
        <v>4</v>
      </c>
      <c r="B132" s="1369" t="s">
        <v>832</v>
      </c>
      <c r="C132" s="1318"/>
      <c r="D132" s="1318"/>
      <c r="E132" s="1318"/>
      <c r="F132" s="1319">
        <v>54749</v>
      </c>
      <c r="G132" s="1331"/>
      <c r="H132" s="1331"/>
      <c r="I132" s="1331"/>
      <c r="J132" s="1331"/>
      <c r="K132" s="1331"/>
      <c r="L132" s="1330"/>
      <c r="M132" s="1330"/>
      <c r="N132" s="1330"/>
      <c r="O132" s="1320">
        <f t="shared" si="31"/>
        <v>54749</v>
      </c>
      <c r="P132" s="1315"/>
      <c r="Q132" s="1325"/>
      <c r="R132" s="1310"/>
      <c r="S132" s="1325"/>
      <c r="T132" s="1315"/>
      <c r="U132" s="1326"/>
      <c r="V132" s="1322"/>
      <c r="W132" s="1322"/>
      <c r="Y132" s="1325"/>
      <c r="Z132" s="1326"/>
      <c r="AA132" s="1326"/>
      <c r="AB132" s="1326"/>
      <c r="AC132" s="1326"/>
      <c r="AD132" s="1326"/>
      <c r="AE132" s="1324"/>
      <c r="AF132" s="1324"/>
      <c r="AG132" s="1324"/>
      <c r="AH132" s="1324"/>
      <c r="AI132" s="1324"/>
      <c r="AJ132" s="1324"/>
      <c r="AK132" s="1324"/>
      <c r="AL132" s="1324"/>
      <c r="AM132" s="1324"/>
      <c r="AN132" s="1324"/>
    </row>
    <row r="133" spans="1:40" ht="15" outlineLevel="1" x14ac:dyDescent="0.25">
      <c r="A133" s="1310">
        <v>5</v>
      </c>
      <c r="B133" s="1369" t="s">
        <v>833</v>
      </c>
      <c r="C133" s="1319"/>
      <c r="D133" s="1319"/>
      <c r="E133" s="1319">
        <v>2160</v>
      </c>
      <c r="F133" s="1319"/>
      <c r="G133" s="1319"/>
      <c r="H133" s="1290"/>
      <c r="I133" s="1343"/>
      <c r="J133" s="1330"/>
      <c r="K133" s="1330"/>
      <c r="L133" s="1330"/>
      <c r="M133" s="1330"/>
      <c r="N133" s="1330"/>
      <c r="O133" s="1320">
        <f t="shared" si="31"/>
        <v>2160</v>
      </c>
      <c r="P133" s="1315"/>
      <c r="Q133" s="1325"/>
      <c r="R133" s="1310"/>
      <c r="S133" s="1325"/>
      <c r="T133" s="1315"/>
      <c r="U133" s="1326"/>
      <c r="V133" s="1322"/>
      <c r="W133" s="1322"/>
      <c r="Y133" s="1325"/>
      <c r="Z133" s="1326"/>
      <c r="AA133" s="1326"/>
      <c r="AB133" s="1371"/>
      <c r="AC133" s="1326"/>
      <c r="AD133" s="1326"/>
      <c r="AE133" s="1324"/>
      <c r="AF133" s="1324"/>
      <c r="AG133" s="1324"/>
      <c r="AH133" s="1324"/>
      <c r="AI133" s="1324"/>
      <c r="AJ133" s="1324"/>
      <c r="AK133" s="1324"/>
      <c r="AL133" s="1324"/>
      <c r="AM133" s="1324"/>
      <c r="AN133" s="1324"/>
    </row>
    <row r="134" spans="1:40" ht="15" outlineLevel="1" x14ac:dyDescent="0.25">
      <c r="A134" s="1310">
        <v>6</v>
      </c>
      <c r="B134" s="1369" t="s">
        <v>718</v>
      </c>
      <c r="C134" s="1319"/>
      <c r="D134" s="1319"/>
      <c r="E134" s="1319"/>
      <c r="F134" s="1319"/>
      <c r="G134" s="1319"/>
      <c r="H134" s="1319">
        <v>11571</v>
      </c>
      <c r="I134" s="1343"/>
      <c r="J134" s="1330"/>
      <c r="K134" s="1330"/>
      <c r="L134" s="1330"/>
      <c r="M134" s="1330"/>
      <c r="N134" s="1330"/>
      <c r="O134" s="1320">
        <f t="shared" si="31"/>
        <v>11571</v>
      </c>
      <c r="P134" s="1315"/>
      <c r="Q134" s="1325"/>
      <c r="R134" s="1310"/>
      <c r="S134" s="1325"/>
      <c r="T134" s="1315"/>
      <c r="U134" s="1326"/>
      <c r="V134" s="1322"/>
      <c r="W134" s="1322"/>
      <c r="Y134" s="1325"/>
      <c r="Z134" s="1326"/>
      <c r="AA134" s="1326"/>
      <c r="AB134" s="1326"/>
      <c r="AC134" s="1326"/>
      <c r="AD134" s="1326"/>
      <c r="AE134" s="1324"/>
      <c r="AF134" s="1324"/>
      <c r="AG134" s="1324"/>
      <c r="AH134" s="1324"/>
      <c r="AI134" s="1324"/>
      <c r="AJ134" s="1324"/>
      <c r="AK134" s="1324"/>
      <c r="AL134" s="1324"/>
      <c r="AM134" s="1324"/>
      <c r="AN134" s="1324"/>
    </row>
    <row r="135" spans="1:40" ht="15" outlineLevel="1" x14ac:dyDescent="0.25">
      <c r="A135" s="1310">
        <v>7</v>
      </c>
      <c r="B135" s="1370" t="s">
        <v>717</v>
      </c>
      <c r="C135" s="1318"/>
      <c r="D135" s="1318"/>
      <c r="E135" s="1343"/>
      <c r="F135" s="1330"/>
      <c r="G135" s="1330"/>
      <c r="H135" s="1330"/>
      <c r="J135" s="1318"/>
      <c r="K135" s="1319">
        <v>20000</v>
      </c>
      <c r="L135" s="1330"/>
      <c r="M135" s="1330"/>
      <c r="N135" s="1330"/>
      <c r="O135" s="1320">
        <f t="shared" si="31"/>
        <v>20000</v>
      </c>
      <c r="P135" s="1315"/>
      <c r="Q135" s="1325">
        <v>42705</v>
      </c>
      <c r="R135" s="1310" t="s">
        <v>702</v>
      </c>
      <c r="S135" s="1325"/>
      <c r="T135" s="1315"/>
      <c r="U135" s="1322"/>
      <c r="V135" s="1322"/>
      <c r="W135" s="1326"/>
      <c r="X135" s="1326"/>
      <c r="Y135" s="1326"/>
      <c r="Z135" s="1326"/>
      <c r="AA135" s="1325"/>
      <c r="AB135" s="1326"/>
      <c r="AD135" s="1326"/>
      <c r="AE135" s="1324">
        <f t="shared" si="28"/>
        <v>0</v>
      </c>
      <c r="AF135" s="1324">
        <f t="shared" si="28"/>
        <v>0</v>
      </c>
      <c r="AG135" s="1324">
        <f t="shared" si="28"/>
        <v>0</v>
      </c>
      <c r="AH135" s="1324">
        <f t="shared" si="28"/>
        <v>0</v>
      </c>
      <c r="AI135" s="1324">
        <f t="shared" si="28"/>
        <v>0</v>
      </c>
      <c r="AJ135" s="1324">
        <f t="shared" si="28"/>
        <v>0</v>
      </c>
      <c r="AK135" s="1324">
        <f t="shared" si="27"/>
        <v>0</v>
      </c>
      <c r="AL135" s="1324">
        <f t="shared" si="27"/>
        <v>0</v>
      </c>
      <c r="AM135" s="1324">
        <f t="shared" si="27"/>
        <v>0</v>
      </c>
      <c r="AN135" s="1324">
        <f t="shared" si="27"/>
        <v>0</v>
      </c>
    </row>
    <row r="136" spans="1:40" ht="15" outlineLevel="1" x14ac:dyDescent="0.25">
      <c r="B136" s="1339" t="s">
        <v>856</v>
      </c>
      <c r="C136" s="1363"/>
      <c r="D136" s="1319"/>
      <c r="E136" s="1319">
        <f>754639.09/1000</f>
        <v>754.63909000000001</v>
      </c>
      <c r="F136" s="1319"/>
      <c r="G136" s="1319"/>
      <c r="H136" s="1330"/>
      <c r="I136" s="1330"/>
      <c r="J136" s="1330"/>
      <c r="K136" s="1330"/>
      <c r="L136" s="1330"/>
      <c r="M136" s="1330"/>
      <c r="N136" s="1330"/>
      <c r="O136" s="1320">
        <f t="shared" si="31"/>
        <v>754.63909000000001</v>
      </c>
      <c r="P136" s="1315"/>
      <c r="Q136" s="1325" t="s">
        <v>719</v>
      </c>
      <c r="R136" s="1310" t="s">
        <v>702</v>
      </c>
      <c r="S136" s="1325"/>
      <c r="T136" s="1315"/>
      <c r="U136" s="1322"/>
      <c r="V136" s="1322"/>
      <c r="W136" s="1326"/>
      <c r="X136" s="1326"/>
      <c r="Y136" s="1326"/>
      <c r="Z136" s="1326"/>
      <c r="AA136" s="1325"/>
      <c r="AB136" s="1326"/>
      <c r="AC136" s="1326"/>
      <c r="AD136" s="1326"/>
      <c r="AE136" s="1324">
        <f t="shared" si="28"/>
        <v>0</v>
      </c>
      <c r="AF136" s="1324">
        <f t="shared" si="28"/>
        <v>0</v>
      </c>
      <c r="AG136" s="1324">
        <f t="shared" si="28"/>
        <v>0</v>
      </c>
      <c r="AH136" s="1324">
        <f t="shared" si="28"/>
        <v>0</v>
      </c>
      <c r="AI136" s="1324">
        <f t="shared" si="28"/>
        <v>0</v>
      </c>
      <c r="AJ136" s="1324">
        <f t="shared" si="28"/>
        <v>0</v>
      </c>
      <c r="AK136" s="1324">
        <f t="shared" si="27"/>
        <v>0</v>
      </c>
      <c r="AL136" s="1324">
        <f t="shared" si="27"/>
        <v>0</v>
      </c>
      <c r="AM136" s="1324">
        <f t="shared" si="27"/>
        <v>0</v>
      </c>
      <c r="AN136" s="1324">
        <f t="shared" si="27"/>
        <v>0</v>
      </c>
    </row>
    <row r="137" spans="1:40" ht="15" outlineLevel="1" x14ac:dyDescent="0.25">
      <c r="B137" s="1339" t="s">
        <v>857</v>
      </c>
      <c r="C137" s="1319"/>
      <c r="D137" s="1319"/>
      <c r="E137" s="1319">
        <f>3646237.32/1000</f>
        <v>3646.2373199999997</v>
      </c>
      <c r="F137" s="1319"/>
      <c r="G137" s="1319"/>
      <c r="H137" s="1319"/>
      <c r="I137" s="1319"/>
      <c r="J137" s="1319"/>
      <c r="K137" s="1319"/>
      <c r="L137" s="1319"/>
      <c r="M137" s="1319"/>
      <c r="N137" s="1319"/>
      <c r="O137" s="1320">
        <f t="shared" si="31"/>
        <v>3646.2373199999997</v>
      </c>
      <c r="P137" s="1315"/>
      <c r="Q137" s="1325">
        <v>41974</v>
      </c>
      <c r="R137" s="1310" t="s">
        <v>702</v>
      </c>
      <c r="S137" s="1325"/>
      <c r="T137" s="1315"/>
      <c r="U137" s="1326"/>
      <c r="W137" s="1322"/>
      <c r="X137" s="1326"/>
      <c r="Y137" s="1326"/>
      <c r="Z137" s="1326"/>
      <c r="AA137" s="1325"/>
      <c r="AB137" s="1326"/>
      <c r="AC137" s="1326"/>
      <c r="AD137" s="1326"/>
      <c r="AE137" s="1324">
        <f t="shared" si="28"/>
        <v>0</v>
      </c>
      <c r="AF137" s="1324">
        <f t="shared" si="28"/>
        <v>0</v>
      </c>
      <c r="AG137" s="1324">
        <f t="shared" si="28"/>
        <v>0</v>
      </c>
      <c r="AH137" s="1324">
        <f t="shared" si="28"/>
        <v>0</v>
      </c>
      <c r="AI137" s="1324">
        <f t="shared" si="28"/>
        <v>0</v>
      </c>
      <c r="AJ137" s="1324">
        <f t="shared" si="28"/>
        <v>0</v>
      </c>
      <c r="AK137" s="1324">
        <f t="shared" si="27"/>
        <v>0</v>
      </c>
      <c r="AL137" s="1324">
        <f t="shared" si="27"/>
        <v>0</v>
      </c>
      <c r="AM137" s="1324">
        <f t="shared" si="27"/>
        <v>0</v>
      </c>
      <c r="AN137" s="1324">
        <f t="shared" si="27"/>
        <v>0</v>
      </c>
    </row>
    <row r="138" spans="1:40" ht="15" outlineLevel="1" x14ac:dyDescent="0.25">
      <c r="B138" s="1339" t="s">
        <v>858</v>
      </c>
      <c r="C138" s="1319"/>
      <c r="D138" s="1319"/>
      <c r="E138" s="1319">
        <f>4586731.87/1000</f>
        <v>4586.7318700000005</v>
      </c>
      <c r="F138" s="1319"/>
      <c r="G138" s="1319"/>
      <c r="H138" s="1319"/>
      <c r="I138" s="1319"/>
      <c r="J138" s="1319"/>
      <c r="K138" s="1319"/>
      <c r="L138" s="1319"/>
      <c r="M138" s="1319"/>
      <c r="N138" s="1319"/>
      <c r="O138" s="1320">
        <f t="shared" si="31"/>
        <v>4586.7318700000005</v>
      </c>
      <c r="P138" s="1315"/>
      <c r="Q138" s="1325"/>
      <c r="R138" s="1310"/>
      <c r="S138" s="1325"/>
      <c r="T138" s="1315"/>
      <c r="U138" s="1326"/>
      <c r="W138" s="1322"/>
      <c r="X138" s="1326"/>
      <c r="Y138" s="1326"/>
      <c r="Z138" s="1326"/>
      <c r="AA138" s="1325"/>
      <c r="AB138" s="1326"/>
      <c r="AC138" s="1326"/>
      <c r="AD138" s="1326"/>
      <c r="AE138" s="1324"/>
      <c r="AF138" s="1324"/>
      <c r="AG138" s="1324"/>
      <c r="AH138" s="1324"/>
      <c r="AI138" s="1324"/>
      <c r="AJ138" s="1324"/>
      <c r="AK138" s="1324"/>
      <c r="AL138" s="1324"/>
      <c r="AM138" s="1324"/>
      <c r="AN138" s="1324"/>
    </row>
    <row r="139" spans="1:40" ht="15" outlineLevel="1" x14ac:dyDescent="0.25">
      <c r="B139" s="1339" t="s">
        <v>859</v>
      </c>
      <c r="C139" s="1319"/>
      <c r="D139" s="1319"/>
      <c r="E139" s="1319">
        <f>784131.47/1000</f>
        <v>784.13146999999992</v>
      </c>
      <c r="F139" s="1319"/>
      <c r="G139" s="1319"/>
      <c r="H139" s="1319"/>
      <c r="I139" s="1319"/>
      <c r="J139" s="1319"/>
      <c r="K139" s="1319"/>
      <c r="L139" s="1319"/>
      <c r="M139" s="1319"/>
      <c r="N139" s="1319"/>
      <c r="O139" s="1320">
        <f t="shared" si="31"/>
        <v>784.13146999999992</v>
      </c>
      <c r="P139" s="1315"/>
      <c r="Q139" s="1325"/>
      <c r="R139" s="1310"/>
      <c r="S139" s="1325"/>
      <c r="T139" s="1315"/>
      <c r="U139" s="1326"/>
      <c r="W139" s="1322"/>
      <c r="X139" s="1326"/>
      <c r="Y139" s="1326"/>
      <c r="Z139" s="1371"/>
      <c r="AA139" s="1325"/>
      <c r="AB139" s="1326"/>
      <c r="AC139" s="1326"/>
      <c r="AD139" s="1326"/>
      <c r="AE139" s="1324"/>
      <c r="AF139" s="1324"/>
      <c r="AG139" s="1324"/>
      <c r="AH139" s="1324"/>
      <c r="AI139" s="1324"/>
      <c r="AJ139" s="1324"/>
      <c r="AK139" s="1324"/>
      <c r="AL139" s="1324"/>
      <c r="AM139" s="1324"/>
      <c r="AN139" s="1324"/>
    </row>
    <row r="140" spans="1:40" ht="15" outlineLevel="1" x14ac:dyDescent="0.25">
      <c r="B140" s="1339"/>
      <c r="C140" s="1319"/>
      <c r="D140" s="1319"/>
      <c r="E140" s="1319"/>
      <c r="F140" s="1319"/>
      <c r="G140" s="1319"/>
      <c r="H140" s="1319"/>
      <c r="I140" s="1319"/>
      <c r="J140" s="1319"/>
      <c r="K140" s="1319"/>
      <c r="L140" s="1319"/>
      <c r="M140" s="1319"/>
      <c r="N140" s="1319"/>
      <c r="O140" s="1320">
        <f t="shared" si="31"/>
        <v>0</v>
      </c>
      <c r="P140" s="1315"/>
      <c r="Q140" s="1325"/>
      <c r="R140" s="1310"/>
      <c r="S140" s="1325"/>
      <c r="T140" s="1315"/>
      <c r="U140" s="1326"/>
      <c r="W140" s="1322"/>
      <c r="X140" s="1326"/>
      <c r="Y140" s="1371"/>
      <c r="Z140" s="1326"/>
      <c r="AA140" s="1325"/>
      <c r="AB140" s="1326"/>
      <c r="AC140" s="1326"/>
      <c r="AD140" s="1326"/>
      <c r="AE140" s="1324"/>
      <c r="AF140" s="1324"/>
      <c r="AG140" s="1324"/>
      <c r="AH140" s="1324"/>
      <c r="AI140" s="1324"/>
      <c r="AJ140" s="1324"/>
      <c r="AK140" s="1324"/>
      <c r="AL140" s="1324"/>
      <c r="AM140" s="1324"/>
      <c r="AN140" s="1324"/>
    </row>
    <row r="141" spans="1:40" ht="15" outlineLevel="1" x14ac:dyDescent="0.25">
      <c r="B141" s="1339"/>
      <c r="C141" s="1363"/>
      <c r="D141" s="1319"/>
      <c r="E141" s="1319"/>
      <c r="F141" s="1319"/>
      <c r="G141" s="1319"/>
      <c r="H141" s="1363"/>
      <c r="I141" s="1319"/>
      <c r="J141" s="1319"/>
      <c r="K141" s="1319"/>
      <c r="L141" s="1319"/>
      <c r="M141" s="1319"/>
      <c r="N141" s="1319"/>
      <c r="O141" s="1320">
        <f t="shared" si="31"/>
        <v>0</v>
      </c>
      <c r="P141" s="1315"/>
      <c r="Q141" s="1325">
        <v>42339</v>
      </c>
      <c r="R141" s="1310" t="s">
        <v>702</v>
      </c>
      <c r="S141" s="1325"/>
      <c r="T141" s="1315"/>
      <c r="U141" s="1326"/>
      <c r="W141" s="1322"/>
      <c r="X141" s="1322"/>
      <c r="Y141" s="1326"/>
      <c r="Z141" s="1371"/>
      <c r="AA141" s="1325"/>
      <c r="AB141" s="1326"/>
      <c r="AC141" s="1326"/>
      <c r="AD141" s="1326"/>
      <c r="AE141" s="1324">
        <f t="shared" si="28"/>
        <v>0</v>
      </c>
      <c r="AF141" s="1324">
        <f t="shared" si="28"/>
        <v>0</v>
      </c>
      <c r="AG141" s="1324">
        <f t="shared" si="28"/>
        <v>0</v>
      </c>
      <c r="AH141" s="1324">
        <f t="shared" si="28"/>
        <v>0</v>
      </c>
      <c r="AI141" s="1324">
        <f t="shared" si="28"/>
        <v>0</v>
      </c>
      <c r="AJ141" s="1324">
        <f t="shared" si="28"/>
        <v>0</v>
      </c>
      <c r="AK141" s="1324">
        <f t="shared" si="27"/>
        <v>0</v>
      </c>
      <c r="AL141" s="1324">
        <f t="shared" si="27"/>
        <v>0</v>
      </c>
      <c r="AM141" s="1324">
        <f t="shared" si="27"/>
        <v>0</v>
      </c>
      <c r="AN141" s="1324">
        <f t="shared" si="27"/>
        <v>0</v>
      </c>
    </row>
    <row r="142" spans="1:40" outlineLevel="1" x14ac:dyDescent="0.2">
      <c r="B142" s="1339"/>
      <c r="C142" s="1315"/>
      <c r="D142" s="1315"/>
      <c r="E142" s="1315"/>
      <c r="F142" s="1315"/>
      <c r="G142" s="1315"/>
      <c r="H142" s="1315"/>
      <c r="I142" s="1315"/>
      <c r="J142" s="1315"/>
      <c r="K142" s="1315"/>
      <c r="L142" s="1315"/>
      <c r="M142" s="1315"/>
      <c r="N142" s="1315"/>
      <c r="O142" s="1315"/>
      <c r="P142" s="1315"/>
      <c r="Q142" s="1325"/>
      <c r="R142" s="1310"/>
      <c r="S142" s="1325"/>
      <c r="T142" s="1315"/>
      <c r="U142" s="1326"/>
      <c r="V142" s="1326"/>
      <c r="W142" s="1326"/>
      <c r="X142" s="1326"/>
      <c r="Y142" s="1326"/>
      <c r="Z142" s="1326"/>
      <c r="AA142" s="1326"/>
      <c r="AB142" s="1326"/>
      <c r="AC142" s="1326"/>
      <c r="AD142" s="1326"/>
      <c r="AE142" s="1324">
        <f t="shared" si="28"/>
        <v>0</v>
      </c>
      <c r="AF142" s="1324">
        <f t="shared" si="28"/>
        <v>0</v>
      </c>
      <c r="AG142" s="1324">
        <f t="shared" si="28"/>
        <v>0</v>
      </c>
      <c r="AH142" s="1324">
        <f t="shared" si="28"/>
        <v>0</v>
      </c>
      <c r="AI142" s="1324">
        <f t="shared" si="28"/>
        <v>0</v>
      </c>
      <c r="AJ142" s="1324">
        <f t="shared" si="28"/>
        <v>0</v>
      </c>
      <c r="AK142" s="1324">
        <f t="shared" si="27"/>
        <v>0</v>
      </c>
      <c r="AL142" s="1324">
        <f t="shared" si="27"/>
        <v>0</v>
      </c>
      <c r="AM142" s="1324">
        <f t="shared" si="27"/>
        <v>0</v>
      </c>
      <c r="AN142" s="1324">
        <f t="shared" si="27"/>
        <v>0</v>
      </c>
    </row>
    <row r="143" spans="1:40" s="1300" customFormat="1" ht="15" x14ac:dyDescent="0.25">
      <c r="A143" s="1305">
        <f>+A142+1</f>
        <v>1</v>
      </c>
      <c r="B143" s="1297" t="s">
        <v>720</v>
      </c>
      <c r="C143" s="1308">
        <f t="shared" ref="C143:N143" si="32">SUM(C144:C150)</f>
        <v>0</v>
      </c>
      <c r="D143" s="1308">
        <f t="shared" si="32"/>
        <v>0</v>
      </c>
      <c r="E143" s="1308">
        <f t="shared" si="32"/>
        <v>0</v>
      </c>
      <c r="F143" s="1308">
        <f t="shared" si="32"/>
        <v>2560</v>
      </c>
      <c r="G143" s="1308">
        <f t="shared" si="32"/>
        <v>0</v>
      </c>
      <c r="H143" s="1308">
        <f>SUM(H144:H150)</f>
        <v>7561</v>
      </c>
      <c r="I143" s="1308">
        <f t="shared" si="32"/>
        <v>0</v>
      </c>
      <c r="J143" s="1308">
        <f t="shared" si="32"/>
        <v>0</v>
      </c>
      <c r="K143" s="1308">
        <f t="shared" si="32"/>
        <v>0</v>
      </c>
      <c r="L143" s="1308">
        <f t="shared" si="32"/>
        <v>0</v>
      </c>
      <c r="M143" s="1308">
        <f t="shared" si="32"/>
        <v>0</v>
      </c>
      <c r="N143" s="1308">
        <f t="shared" si="32"/>
        <v>0</v>
      </c>
      <c r="O143" s="1308">
        <f t="shared" ref="O143:O153" si="33">SUM(D143:N143)</f>
        <v>10121</v>
      </c>
      <c r="P143" s="1309"/>
      <c r="Q143" s="1340"/>
      <c r="S143" s="1340"/>
      <c r="T143" s="1309"/>
      <c r="AE143" s="1341">
        <f t="shared" si="28"/>
        <v>0</v>
      </c>
      <c r="AF143" s="1341">
        <f t="shared" si="28"/>
        <v>0</v>
      </c>
      <c r="AG143" s="1341">
        <f t="shared" si="28"/>
        <v>0</v>
      </c>
      <c r="AH143" s="1341">
        <f t="shared" si="28"/>
        <v>0</v>
      </c>
      <c r="AI143" s="1341">
        <f t="shared" si="28"/>
        <v>0</v>
      </c>
      <c r="AJ143" s="1341">
        <f t="shared" si="28"/>
        <v>0</v>
      </c>
      <c r="AK143" s="1341">
        <f t="shared" si="27"/>
        <v>0</v>
      </c>
      <c r="AL143" s="1341">
        <f t="shared" si="27"/>
        <v>0</v>
      </c>
      <c r="AM143" s="1341">
        <f t="shared" si="27"/>
        <v>0</v>
      </c>
      <c r="AN143" s="1341">
        <f t="shared" si="27"/>
        <v>0</v>
      </c>
    </row>
    <row r="144" spans="1:40" ht="15" outlineLevel="1" x14ac:dyDescent="0.25">
      <c r="A144" s="1310">
        <v>1</v>
      </c>
      <c r="B144" s="1345" t="s">
        <v>721</v>
      </c>
      <c r="C144" s="1319"/>
      <c r="D144" s="1319"/>
      <c r="E144" s="1330"/>
      <c r="F144" s="1330"/>
      <c r="G144" s="1330"/>
      <c r="H144" s="1372">
        <v>395</v>
      </c>
      <c r="I144" s="1330"/>
      <c r="J144" s="1319"/>
      <c r="K144" s="1319"/>
      <c r="L144" s="1319"/>
      <c r="M144" s="1319"/>
      <c r="N144" s="1319"/>
      <c r="O144" s="1320">
        <f t="shared" ref="O144:O149" si="34">SUM(C144:N144)</f>
        <v>395</v>
      </c>
      <c r="P144" s="1315"/>
      <c r="Q144" s="1325" t="s">
        <v>722</v>
      </c>
      <c r="S144" s="1325">
        <v>45657</v>
      </c>
      <c r="T144" s="1315"/>
      <c r="U144" s="1326"/>
      <c r="V144" s="1322"/>
      <c r="W144" s="1322"/>
      <c r="X144" s="1326"/>
      <c r="Y144" s="1326"/>
      <c r="Z144" s="1326"/>
      <c r="AA144" s="1326"/>
      <c r="AB144" s="1325">
        <v>45657</v>
      </c>
      <c r="AC144" s="1326"/>
      <c r="AD144" s="1326"/>
      <c r="AE144" s="1324">
        <f t="shared" si="28"/>
        <v>0</v>
      </c>
      <c r="AF144" s="1324">
        <f t="shared" si="28"/>
        <v>0</v>
      </c>
      <c r="AG144" s="1324">
        <f t="shared" si="28"/>
        <v>0</v>
      </c>
      <c r="AH144" s="1324">
        <f t="shared" si="28"/>
        <v>0</v>
      </c>
      <c r="AI144" s="1324">
        <f t="shared" si="28"/>
        <v>0</v>
      </c>
      <c r="AJ144" s="1324">
        <f t="shared" si="28"/>
        <v>0</v>
      </c>
      <c r="AK144" s="1324">
        <f t="shared" si="27"/>
        <v>0</v>
      </c>
      <c r="AL144" s="1324">
        <f t="shared" si="27"/>
        <v>0</v>
      </c>
      <c r="AM144" s="1324">
        <f t="shared" si="27"/>
        <v>0</v>
      </c>
      <c r="AN144" s="1324">
        <f t="shared" si="27"/>
        <v>0</v>
      </c>
    </row>
    <row r="145" spans="1:40" ht="15" outlineLevel="1" x14ac:dyDescent="0.25">
      <c r="A145" s="1310">
        <v>2</v>
      </c>
      <c r="B145" s="1345" t="s">
        <v>723</v>
      </c>
      <c r="C145" s="1319"/>
      <c r="D145" s="1319"/>
      <c r="E145" s="1330"/>
      <c r="F145" s="1330"/>
      <c r="G145" s="1330"/>
      <c r="H145" s="1372">
        <v>395</v>
      </c>
      <c r="I145" s="1330"/>
      <c r="J145" s="1319"/>
      <c r="K145" s="1319"/>
      <c r="L145" s="1319"/>
      <c r="M145" s="1319"/>
      <c r="N145" s="1319"/>
      <c r="O145" s="1320">
        <f t="shared" si="34"/>
        <v>395</v>
      </c>
      <c r="P145" s="1315"/>
      <c r="Q145" s="1325"/>
      <c r="S145" s="1325">
        <v>45657</v>
      </c>
      <c r="T145" s="1315"/>
      <c r="U145" s="1326"/>
      <c r="V145" s="1322"/>
      <c r="W145" s="1322"/>
      <c r="X145" s="1326"/>
      <c r="Y145" s="1326"/>
      <c r="Z145" s="1326"/>
      <c r="AA145" s="1326"/>
      <c r="AB145" s="1325">
        <v>45657</v>
      </c>
      <c r="AC145" s="1326"/>
      <c r="AD145" s="1326"/>
      <c r="AE145" s="1324">
        <f t="shared" si="28"/>
        <v>0</v>
      </c>
      <c r="AF145" s="1324">
        <f t="shared" si="28"/>
        <v>0</v>
      </c>
      <c r="AG145" s="1324">
        <f t="shared" si="28"/>
        <v>0</v>
      </c>
      <c r="AH145" s="1324">
        <f t="shared" si="28"/>
        <v>0</v>
      </c>
      <c r="AI145" s="1324">
        <f t="shared" si="28"/>
        <v>0</v>
      </c>
      <c r="AJ145" s="1324">
        <f>IF(ISBLANK(Z145),,(DATE(AJ$6,12,31)-Z145)/365)</f>
        <v>0</v>
      </c>
      <c r="AK145" s="1324">
        <f t="shared" si="27"/>
        <v>0</v>
      </c>
      <c r="AL145" s="1324">
        <f t="shared" si="27"/>
        <v>0</v>
      </c>
      <c r="AM145" s="1324">
        <f t="shared" si="27"/>
        <v>0</v>
      </c>
      <c r="AN145" s="1324">
        <f t="shared" si="27"/>
        <v>0</v>
      </c>
    </row>
    <row r="146" spans="1:40" ht="15" outlineLevel="1" x14ac:dyDescent="0.25">
      <c r="A146" s="1310">
        <v>3</v>
      </c>
      <c r="B146" s="1345" t="s">
        <v>860</v>
      </c>
      <c r="C146" s="1319"/>
      <c r="D146" s="1319"/>
      <c r="E146" s="1330"/>
      <c r="F146" s="1372">
        <v>2560</v>
      </c>
      <c r="G146" s="1330"/>
      <c r="H146" s="1330"/>
      <c r="I146" s="1330"/>
      <c r="J146" s="1319"/>
      <c r="K146" s="1319"/>
      <c r="L146" s="1319"/>
      <c r="M146" s="1319"/>
      <c r="N146" s="1319"/>
      <c r="O146" s="1320">
        <f t="shared" si="34"/>
        <v>2560</v>
      </c>
      <c r="P146" s="1315"/>
      <c r="Q146" s="1325"/>
      <c r="S146" s="1325" t="s">
        <v>861</v>
      </c>
      <c r="T146" s="1315"/>
      <c r="U146" s="1326"/>
      <c r="V146" s="1326"/>
      <c r="W146" s="1322"/>
      <c r="X146" s="1326"/>
      <c r="Y146" s="1326"/>
      <c r="Z146" s="1325">
        <v>44925</v>
      </c>
      <c r="AA146" s="1325"/>
      <c r="AB146" s="1326"/>
      <c r="AC146" s="1326"/>
      <c r="AD146" s="1326"/>
      <c r="AE146" s="1324">
        <f t="shared" si="28"/>
        <v>0</v>
      </c>
      <c r="AF146" s="1324">
        <f t="shared" si="28"/>
        <v>0</v>
      </c>
      <c r="AG146" s="1324">
        <f t="shared" si="28"/>
        <v>0</v>
      </c>
      <c r="AH146" s="1324">
        <f t="shared" si="28"/>
        <v>0</v>
      </c>
      <c r="AI146" s="1324">
        <f t="shared" si="28"/>
        <v>0</v>
      </c>
      <c r="AJ146" s="1324">
        <f>IF(ISBLANK(Z146),,(DATE(AJ$6,12,31)-Z146)/365)</f>
        <v>2.7397260273972603E-3</v>
      </c>
      <c r="AK146" s="1324">
        <f t="shared" si="27"/>
        <v>0</v>
      </c>
      <c r="AL146" s="1324">
        <f t="shared" si="27"/>
        <v>0</v>
      </c>
      <c r="AM146" s="1324">
        <f t="shared" si="27"/>
        <v>0</v>
      </c>
      <c r="AN146" s="1324">
        <f t="shared" si="27"/>
        <v>0</v>
      </c>
    </row>
    <row r="147" spans="1:40" ht="15" outlineLevel="1" x14ac:dyDescent="0.25">
      <c r="A147" s="1310">
        <v>5</v>
      </c>
      <c r="B147" s="1345" t="s">
        <v>862</v>
      </c>
      <c r="C147" s="1319"/>
      <c r="D147" s="1319"/>
      <c r="E147" s="1330"/>
      <c r="F147" s="1330"/>
      <c r="G147" s="1330"/>
      <c r="H147" s="1372">
        <v>2600</v>
      </c>
      <c r="I147" s="1330"/>
      <c r="J147" s="1319"/>
      <c r="K147" s="1319"/>
      <c r="L147" s="1319"/>
      <c r="M147" s="1319"/>
      <c r="N147" s="1319"/>
      <c r="O147" s="1320">
        <f t="shared" si="34"/>
        <v>2600</v>
      </c>
      <c r="P147" s="1315"/>
      <c r="Q147" s="1325"/>
      <c r="S147" s="1325" t="s">
        <v>863</v>
      </c>
      <c r="T147" s="1315"/>
      <c r="U147" s="1326"/>
      <c r="V147" s="1326"/>
      <c r="W147" s="1322"/>
      <c r="X147" s="1326"/>
      <c r="Y147" s="1326"/>
      <c r="Z147" s="1326"/>
      <c r="AA147" s="1325"/>
      <c r="AB147" s="1325">
        <v>45657</v>
      </c>
      <c r="AC147" s="1326"/>
      <c r="AD147" s="1326"/>
      <c r="AE147" s="1324">
        <f t="shared" si="28"/>
        <v>0</v>
      </c>
      <c r="AF147" s="1324">
        <f t="shared" si="28"/>
        <v>0</v>
      </c>
      <c r="AG147" s="1324">
        <f t="shared" si="28"/>
        <v>0</v>
      </c>
      <c r="AH147" s="1324">
        <f t="shared" si="28"/>
        <v>0</v>
      </c>
      <c r="AI147" s="1324">
        <f t="shared" si="28"/>
        <v>0</v>
      </c>
      <c r="AJ147" s="1324">
        <f t="shared" si="28"/>
        <v>0</v>
      </c>
      <c r="AK147" s="1324">
        <f t="shared" si="27"/>
        <v>0</v>
      </c>
      <c r="AL147" s="1324">
        <f>IF(ISBLANK(AB147),,(DATE(AL$6,12,31)-AB147)/365)</f>
        <v>0</v>
      </c>
      <c r="AM147" s="1324">
        <f t="shared" si="27"/>
        <v>0</v>
      </c>
      <c r="AN147" s="1324">
        <f t="shared" si="27"/>
        <v>0</v>
      </c>
    </row>
    <row r="148" spans="1:40" ht="15" outlineLevel="1" x14ac:dyDescent="0.25">
      <c r="A148" s="1310">
        <v>6</v>
      </c>
      <c r="B148" s="1345" t="s">
        <v>864</v>
      </c>
      <c r="C148" s="1319"/>
      <c r="D148" s="1319"/>
      <c r="E148" s="1330"/>
      <c r="F148" s="1330"/>
      <c r="G148" s="1330"/>
      <c r="H148" s="1372">
        <v>1571</v>
      </c>
      <c r="I148" s="1330"/>
      <c r="J148" s="1319"/>
      <c r="K148" s="1319"/>
      <c r="L148" s="1319"/>
      <c r="M148" s="1319"/>
      <c r="N148" s="1319"/>
      <c r="O148" s="1320">
        <f t="shared" si="34"/>
        <v>1571</v>
      </c>
      <c r="P148" s="1315"/>
      <c r="Q148" s="1325"/>
      <c r="S148" s="1325" t="s">
        <v>863</v>
      </c>
      <c r="T148" s="1315"/>
      <c r="U148" s="1326"/>
      <c r="V148" s="1326"/>
      <c r="W148" s="1322"/>
      <c r="X148" s="1326"/>
      <c r="Y148" s="1326"/>
      <c r="Z148" s="1326"/>
      <c r="AA148" s="1325"/>
      <c r="AB148" s="1325">
        <v>45657</v>
      </c>
      <c r="AC148" s="1326"/>
      <c r="AD148" s="1326"/>
      <c r="AE148" s="1324">
        <f t="shared" si="28"/>
        <v>0</v>
      </c>
      <c r="AF148" s="1324">
        <f t="shared" si="28"/>
        <v>0</v>
      </c>
      <c r="AG148" s="1324">
        <f t="shared" si="28"/>
        <v>0</v>
      </c>
      <c r="AH148" s="1324">
        <f t="shared" si="28"/>
        <v>0</v>
      </c>
      <c r="AI148" s="1324">
        <f t="shared" si="28"/>
        <v>0</v>
      </c>
      <c r="AJ148" s="1324">
        <f t="shared" si="28"/>
        <v>0</v>
      </c>
      <c r="AK148" s="1324">
        <f t="shared" si="27"/>
        <v>0</v>
      </c>
      <c r="AL148" s="1324">
        <f t="shared" si="27"/>
        <v>0</v>
      </c>
      <c r="AM148" s="1324">
        <f t="shared" si="27"/>
        <v>0</v>
      </c>
      <c r="AN148" s="1324">
        <f t="shared" si="27"/>
        <v>0</v>
      </c>
    </row>
    <row r="149" spans="1:40" ht="15" outlineLevel="1" x14ac:dyDescent="0.25">
      <c r="A149" s="1310">
        <v>7</v>
      </c>
      <c r="B149" s="1345" t="s">
        <v>865</v>
      </c>
      <c r="C149" s="1315"/>
      <c r="D149" s="1315"/>
      <c r="E149" s="1315"/>
      <c r="F149" s="1315"/>
      <c r="G149" s="1315"/>
      <c r="H149" s="1372">
        <v>2600</v>
      </c>
      <c r="I149" s="1315"/>
      <c r="J149" s="1315"/>
      <c r="K149" s="1315"/>
      <c r="L149" s="1319"/>
      <c r="M149" s="1319"/>
      <c r="N149" s="1319"/>
      <c r="O149" s="1320">
        <f t="shared" si="34"/>
        <v>2600</v>
      </c>
      <c r="P149" s="1315"/>
      <c r="Q149" s="1325"/>
      <c r="S149" s="1325" t="s">
        <v>863</v>
      </c>
      <c r="T149" s="1315"/>
      <c r="U149" s="1326"/>
      <c r="V149" s="1326"/>
      <c r="W149" s="1322"/>
      <c r="X149" s="1326"/>
      <c r="Y149" s="1326"/>
      <c r="Z149" s="1326"/>
      <c r="AA149" s="1325"/>
      <c r="AB149" s="1325">
        <v>45657</v>
      </c>
      <c r="AC149" s="1326"/>
      <c r="AD149" s="1326"/>
      <c r="AE149" s="1324">
        <f t="shared" si="28"/>
        <v>0</v>
      </c>
      <c r="AF149" s="1324">
        <f t="shared" si="28"/>
        <v>0</v>
      </c>
      <c r="AG149" s="1324">
        <f t="shared" si="28"/>
        <v>0</v>
      </c>
      <c r="AH149" s="1324">
        <f t="shared" si="28"/>
        <v>0</v>
      </c>
      <c r="AI149" s="1324">
        <f t="shared" si="28"/>
        <v>0</v>
      </c>
      <c r="AJ149" s="1324">
        <f t="shared" si="28"/>
        <v>0</v>
      </c>
      <c r="AK149" s="1324">
        <f t="shared" si="27"/>
        <v>0</v>
      </c>
      <c r="AL149" s="1324">
        <f t="shared" si="27"/>
        <v>0</v>
      </c>
      <c r="AM149" s="1324">
        <f t="shared" si="27"/>
        <v>0</v>
      </c>
      <c r="AN149" s="1324">
        <f t="shared" si="27"/>
        <v>0</v>
      </c>
    </row>
    <row r="150" spans="1:40" outlineLevel="1" x14ac:dyDescent="0.2">
      <c r="B150" s="1339"/>
      <c r="C150" s="1315"/>
      <c r="D150" s="1315"/>
      <c r="E150" s="1315"/>
      <c r="F150" s="1315"/>
      <c r="G150" s="1315"/>
      <c r="H150" s="1315"/>
      <c r="I150" s="1315"/>
      <c r="J150" s="1315"/>
      <c r="K150" s="1315"/>
      <c r="L150" s="1315"/>
      <c r="M150" s="1315"/>
      <c r="N150" s="1315"/>
      <c r="O150" s="1315">
        <f t="shared" si="33"/>
        <v>0</v>
      </c>
      <c r="P150" s="1315"/>
      <c r="Q150" s="1325"/>
      <c r="S150" s="1325"/>
      <c r="T150" s="1315"/>
      <c r="U150" s="1326"/>
      <c r="V150" s="1326"/>
      <c r="W150" s="1326"/>
      <c r="X150" s="1326"/>
      <c r="Y150" s="1326"/>
      <c r="Z150" s="1326"/>
      <c r="AA150" s="1326"/>
      <c r="AB150" s="1326"/>
      <c r="AC150" s="1326"/>
      <c r="AD150" s="1326"/>
      <c r="AE150" s="1324"/>
      <c r="AF150" s="1324"/>
      <c r="AG150" s="1324"/>
      <c r="AH150" s="1324"/>
      <c r="AI150" s="1324"/>
      <c r="AJ150" s="1324"/>
      <c r="AK150" s="1324"/>
      <c r="AL150" s="1324"/>
      <c r="AM150" s="1324"/>
      <c r="AN150" s="1324"/>
    </row>
    <row r="151" spans="1:40" s="1300" customFormat="1" ht="15" x14ac:dyDescent="0.25">
      <c r="A151" s="1305">
        <f>+A150+1</f>
        <v>1</v>
      </c>
      <c r="B151" s="1297" t="s">
        <v>724</v>
      </c>
      <c r="C151" s="1308">
        <f>+SUM(C152:C153)</f>
        <v>0</v>
      </c>
      <c r="D151" s="1308">
        <f>+SUM(D152:D154)</f>
        <v>0</v>
      </c>
      <c r="E151" s="1308">
        <f t="shared" ref="E151:N151" si="35">+SUM(E152:E154)</f>
        <v>5277</v>
      </c>
      <c r="F151" s="1308">
        <f t="shared" si="35"/>
        <v>0</v>
      </c>
      <c r="G151" s="1308">
        <f t="shared" si="35"/>
        <v>350</v>
      </c>
      <c r="H151" s="1308">
        <f t="shared" si="35"/>
        <v>6871</v>
      </c>
      <c r="I151" s="1308">
        <f t="shared" si="35"/>
        <v>0</v>
      </c>
      <c r="J151" s="1308">
        <f t="shared" si="35"/>
        <v>0</v>
      </c>
      <c r="K151" s="1308">
        <f t="shared" si="35"/>
        <v>0</v>
      </c>
      <c r="L151" s="1308">
        <f t="shared" si="35"/>
        <v>0</v>
      </c>
      <c r="M151" s="1308">
        <f t="shared" si="35"/>
        <v>0</v>
      </c>
      <c r="N151" s="1308">
        <f t="shared" si="35"/>
        <v>0</v>
      </c>
      <c r="O151" s="1308">
        <f>+SUM(O152:O154)</f>
        <v>7221</v>
      </c>
      <c r="P151" s="1309"/>
      <c r="Q151" s="1340"/>
      <c r="S151" s="1340"/>
      <c r="T151" s="1309"/>
      <c r="AE151" s="1341">
        <f t="shared" si="28"/>
        <v>0</v>
      </c>
      <c r="AF151" s="1341">
        <f t="shared" si="28"/>
        <v>0</v>
      </c>
      <c r="AG151" s="1341">
        <f t="shared" si="28"/>
        <v>0</v>
      </c>
      <c r="AH151" s="1341">
        <f t="shared" si="28"/>
        <v>0</v>
      </c>
      <c r="AI151" s="1341">
        <f t="shared" si="28"/>
        <v>0</v>
      </c>
      <c r="AJ151" s="1341">
        <f t="shared" si="28"/>
        <v>0</v>
      </c>
      <c r="AK151" s="1341">
        <f t="shared" si="27"/>
        <v>0</v>
      </c>
      <c r="AL151" s="1341">
        <f t="shared" si="27"/>
        <v>0</v>
      </c>
      <c r="AM151" s="1341">
        <f t="shared" si="27"/>
        <v>0</v>
      </c>
      <c r="AN151" s="1341">
        <f t="shared" si="27"/>
        <v>0</v>
      </c>
    </row>
    <row r="152" spans="1:40" ht="15" x14ac:dyDescent="0.25">
      <c r="A152" s="1310">
        <v>1</v>
      </c>
      <c r="B152" s="1345" t="s">
        <v>725</v>
      </c>
      <c r="C152" s="1319"/>
      <c r="D152" s="1319"/>
      <c r="E152" s="1319"/>
      <c r="F152" s="1319"/>
      <c r="G152" s="1319"/>
      <c r="H152" s="1372">
        <v>6871</v>
      </c>
      <c r="I152" s="1319"/>
      <c r="J152" s="1319"/>
      <c r="K152" s="1319"/>
      <c r="L152" s="1319"/>
      <c r="M152" s="1330"/>
      <c r="N152" s="1319"/>
      <c r="O152" s="1320">
        <f>SUM(C152:N152)</f>
        <v>6871</v>
      </c>
      <c r="P152" s="1315"/>
      <c r="Q152" s="1325">
        <v>43466</v>
      </c>
      <c r="R152" s="1310" t="s">
        <v>11</v>
      </c>
      <c r="S152" s="1325">
        <v>45565</v>
      </c>
      <c r="T152" s="1315"/>
      <c r="U152" s="1326"/>
      <c r="V152" s="1326"/>
      <c r="W152" s="1322"/>
      <c r="X152" s="1322"/>
      <c r="Y152" s="1326"/>
      <c r="Z152" s="1326"/>
      <c r="AA152" s="1325"/>
      <c r="AB152" s="1325">
        <v>45565</v>
      </c>
      <c r="AC152" s="1322"/>
      <c r="AD152" s="1326"/>
      <c r="AE152" s="1324">
        <f t="shared" si="28"/>
        <v>0</v>
      </c>
      <c r="AF152" s="1324">
        <f t="shared" si="28"/>
        <v>0</v>
      </c>
      <c r="AG152" s="1324">
        <f t="shared" si="28"/>
        <v>0</v>
      </c>
      <c r="AH152" s="1324">
        <f t="shared" si="28"/>
        <v>0</v>
      </c>
      <c r="AI152" s="1324">
        <f t="shared" si="28"/>
        <v>0</v>
      </c>
      <c r="AJ152" s="1324">
        <f t="shared" si="28"/>
        <v>0</v>
      </c>
      <c r="AK152" s="1324">
        <f t="shared" si="27"/>
        <v>0</v>
      </c>
      <c r="AL152" s="1324">
        <f t="shared" si="27"/>
        <v>0.25205479452054796</v>
      </c>
      <c r="AM152" s="1324">
        <f t="shared" si="27"/>
        <v>0</v>
      </c>
      <c r="AN152" s="1324">
        <f t="shared" si="27"/>
        <v>0</v>
      </c>
    </row>
    <row r="153" spans="1:40" x14ac:dyDescent="0.2">
      <c r="A153" s="1310">
        <v>2</v>
      </c>
      <c r="B153" s="1345" t="s">
        <v>866</v>
      </c>
      <c r="C153" s="1319"/>
      <c r="D153" s="1319"/>
      <c r="E153" s="1319"/>
      <c r="F153" s="1319"/>
      <c r="G153" s="1372">
        <v>350</v>
      </c>
      <c r="H153" s="1330"/>
      <c r="I153" s="1319"/>
      <c r="J153" s="1319"/>
      <c r="K153" s="1319"/>
      <c r="L153" s="1319"/>
      <c r="M153" s="1319"/>
      <c r="N153" s="1319"/>
      <c r="O153" s="1315">
        <f t="shared" si="33"/>
        <v>350</v>
      </c>
      <c r="S153" s="1325">
        <v>45291</v>
      </c>
      <c r="U153" s="1326"/>
      <c r="V153" s="1326"/>
      <c r="W153" s="1322"/>
      <c r="X153" s="1322"/>
      <c r="Y153" s="1326"/>
      <c r="Z153" s="1326"/>
      <c r="AA153" s="1325">
        <v>45291</v>
      </c>
      <c r="AB153" s="1326"/>
      <c r="AC153" s="1326"/>
      <c r="AD153" s="1326"/>
      <c r="AE153" s="1324">
        <f t="shared" si="28"/>
        <v>0</v>
      </c>
      <c r="AF153" s="1324">
        <f t="shared" si="28"/>
        <v>0</v>
      </c>
      <c r="AG153" s="1324">
        <f t="shared" si="28"/>
        <v>0</v>
      </c>
      <c r="AH153" s="1324">
        <f t="shared" si="28"/>
        <v>0</v>
      </c>
      <c r="AI153" s="1324">
        <f t="shared" si="28"/>
        <v>0</v>
      </c>
      <c r="AJ153" s="1324">
        <f t="shared" si="28"/>
        <v>0</v>
      </c>
      <c r="AK153" s="1324">
        <f t="shared" si="27"/>
        <v>0</v>
      </c>
      <c r="AL153" s="1324">
        <f t="shared" si="27"/>
        <v>0</v>
      </c>
      <c r="AM153" s="1324">
        <f t="shared" si="27"/>
        <v>0</v>
      </c>
      <c r="AN153" s="1324">
        <f t="shared" si="27"/>
        <v>0</v>
      </c>
    </row>
    <row r="154" spans="1:40" x14ac:dyDescent="0.2">
      <c r="A154" s="1310">
        <v>3</v>
      </c>
      <c r="B154" s="1373" t="s">
        <v>698</v>
      </c>
      <c r="E154" s="1373">
        <v>5277</v>
      </c>
      <c r="S154" s="1325">
        <v>44316</v>
      </c>
      <c r="Y154" s="1325">
        <v>44316</v>
      </c>
      <c r="AB154" s="1325"/>
      <c r="AE154" s="1324">
        <f t="shared" si="28"/>
        <v>0</v>
      </c>
      <c r="AF154" s="1324">
        <f t="shared" si="28"/>
        <v>0</v>
      </c>
      <c r="AG154" s="1324">
        <f t="shared" si="28"/>
        <v>0</v>
      </c>
      <c r="AH154" s="1324">
        <f t="shared" si="28"/>
        <v>0</v>
      </c>
      <c r="AI154" s="1324">
        <f t="shared" si="28"/>
        <v>0.67123287671232879</v>
      </c>
      <c r="AJ154" s="1324">
        <f t="shared" si="28"/>
        <v>0</v>
      </c>
      <c r="AK154" s="1324">
        <f t="shared" si="27"/>
        <v>0</v>
      </c>
      <c r="AL154" s="1324">
        <f t="shared" si="27"/>
        <v>0</v>
      </c>
      <c r="AM154" s="1324">
        <f t="shared" si="27"/>
        <v>0</v>
      </c>
      <c r="AN154" s="1324">
        <f t="shared" si="27"/>
        <v>0</v>
      </c>
    </row>
    <row r="156" spans="1:40" ht="15" thickBot="1" x14ac:dyDescent="0.25"/>
    <row r="157" spans="1:40" ht="15.75" thickBot="1" x14ac:dyDescent="0.3">
      <c r="B157" s="1374" t="s">
        <v>726</v>
      </c>
      <c r="C157" s="1375"/>
      <c r="D157" s="1375"/>
      <c r="E157" s="1376">
        <f t="shared" ref="E157:N157" si="36">SUMPRODUCT(E12:E153,AI12:AI153)</f>
        <v>11859.821917808218</v>
      </c>
      <c r="F157" s="1376">
        <f>SUMPRODUCT(F12:F153,AJ12:AJ153)</f>
        <v>32568.660273972604</v>
      </c>
      <c r="G157" s="1376">
        <f t="shared" si="36"/>
        <v>0</v>
      </c>
      <c r="H157" s="1376">
        <f t="shared" si="36"/>
        <v>30698.438356164384</v>
      </c>
      <c r="I157" s="1376">
        <f t="shared" si="36"/>
        <v>90483.438356164377</v>
      </c>
      <c r="J157" s="1376">
        <f t="shared" si="36"/>
        <v>0</v>
      </c>
      <c r="K157" s="1376">
        <f t="shared" si="36"/>
        <v>0</v>
      </c>
      <c r="L157" s="1376">
        <f t="shared" si="36"/>
        <v>0</v>
      </c>
      <c r="M157" s="1376">
        <f t="shared" si="36"/>
        <v>0</v>
      </c>
      <c r="N157" s="1376">
        <f t="shared" si="36"/>
        <v>0</v>
      </c>
    </row>
    <row r="158" spans="1:40" ht="15" x14ac:dyDescent="0.25">
      <c r="B158" s="1377" t="s">
        <v>867</v>
      </c>
      <c r="C158" s="1332"/>
      <c r="D158" s="1332"/>
      <c r="E158" s="1315">
        <f t="shared" ref="E158:N158" si="37">SUMPRODUCT(E12:E55,AI12:AI55)</f>
        <v>11859.821917808218</v>
      </c>
      <c r="F158" s="1315">
        <f t="shared" si="37"/>
        <v>32558.002739726027</v>
      </c>
      <c r="G158" s="1315">
        <f t="shared" si="37"/>
        <v>0</v>
      </c>
      <c r="H158" s="1315">
        <f t="shared" si="37"/>
        <v>28966.569863013698</v>
      </c>
      <c r="I158" s="1315">
        <f t="shared" si="37"/>
        <v>90483.438356164377</v>
      </c>
      <c r="J158" s="1315">
        <f t="shared" si="37"/>
        <v>0</v>
      </c>
      <c r="K158" s="1315">
        <f t="shared" si="37"/>
        <v>0</v>
      </c>
      <c r="L158" s="1315">
        <f t="shared" si="37"/>
        <v>0</v>
      </c>
      <c r="M158" s="1315">
        <f t="shared" si="37"/>
        <v>0</v>
      </c>
      <c r="N158" s="1315">
        <f t="shared" si="37"/>
        <v>0</v>
      </c>
      <c r="O158" s="1315">
        <f>+SUM(E158:N158)</f>
        <v>163867.83287671232</v>
      </c>
    </row>
    <row r="159" spans="1:40" x14ac:dyDescent="0.2">
      <c r="B159" s="1377" t="s">
        <v>868</v>
      </c>
      <c r="E159" s="1315">
        <f t="shared" ref="E159:N159" si="38">+SUMPRODUCT(E74:E127,AI74:AI127)</f>
        <v>0</v>
      </c>
      <c r="F159" s="1315">
        <f t="shared" si="38"/>
        <v>0</v>
      </c>
      <c r="G159" s="1315">
        <f t="shared" si="38"/>
        <v>0</v>
      </c>
      <c r="H159" s="1315">
        <f t="shared" si="38"/>
        <v>0</v>
      </c>
      <c r="I159" s="1315">
        <f t="shared" si="38"/>
        <v>0</v>
      </c>
      <c r="J159" s="1315">
        <f t="shared" si="38"/>
        <v>0</v>
      </c>
      <c r="K159" s="1315">
        <f t="shared" si="38"/>
        <v>0</v>
      </c>
      <c r="L159" s="1315">
        <f t="shared" si="38"/>
        <v>0</v>
      </c>
      <c r="M159" s="1315">
        <f t="shared" si="38"/>
        <v>0</v>
      </c>
      <c r="N159" s="1315">
        <f t="shared" si="38"/>
        <v>0</v>
      </c>
      <c r="O159" s="1315">
        <f t="shared" ref="O159:O163" si="39">+SUM(E159:N159)</f>
        <v>0</v>
      </c>
    </row>
    <row r="160" spans="1:40" x14ac:dyDescent="0.2">
      <c r="B160" s="1377" t="s">
        <v>727</v>
      </c>
      <c r="E160" s="1315">
        <f t="shared" ref="E160:N160" si="40">SUMPRODUCT(E57:E72,AI57:AI72)</f>
        <v>0</v>
      </c>
      <c r="F160" s="1315">
        <f t="shared" si="40"/>
        <v>3.6438356164383561</v>
      </c>
      <c r="G160" s="1315">
        <f t="shared" si="40"/>
        <v>0</v>
      </c>
      <c r="H160" s="1315">
        <f t="shared" si="40"/>
        <v>0</v>
      </c>
      <c r="I160" s="1315">
        <f t="shared" si="40"/>
        <v>0</v>
      </c>
      <c r="J160" s="1315">
        <f t="shared" si="40"/>
        <v>0</v>
      </c>
      <c r="K160" s="1315">
        <f t="shared" si="40"/>
        <v>0</v>
      </c>
      <c r="L160" s="1315">
        <f t="shared" si="40"/>
        <v>0</v>
      </c>
      <c r="M160" s="1315">
        <f t="shared" si="40"/>
        <v>0</v>
      </c>
      <c r="N160" s="1315">
        <f t="shared" si="40"/>
        <v>0</v>
      </c>
      <c r="O160" s="1315">
        <f t="shared" si="39"/>
        <v>3.6438356164383561</v>
      </c>
    </row>
    <row r="161" spans="2:15" x14ac:dyDescent="0.2">
      <c r="B161" s="1377" t="s">
        <v>728</v>
      </c>
      <c r="E161" s="1315">
        <f>+SUMPRODUCT(E152:E153,AI152:AI153)</f>
        <v>0</v>
      </c>
      <c r="F161" s="1315">
        <f t="shared" ref="F161:N161" si="41">+SUMPRODUCT(F152:F153,AJ152:AJ153)</f>
        <v>0</v>
      </c>
      <c r="G161" s="1315">
        <f t="shared" si="41"/>
        <v>0</v>
      </c>
      <c r="H161" s="1315">
        <f t="shared" si="41"/>
        <v>1731.868493150685</v>
      </c>
      <c r="I161" s="1315">
        <f t="shared" si="41"/>
        <v>0</v>
      </c>
      <c r="J161" s="1315">
        <f t="shared" si="41"/>
        <v>0</v>
      </c>
      <c r="K161" s="1315">
        <f t="shared" si="41"/>
        <v>0</v>
      </c>
      <c r="L161" s="1315">
        <f t="shared" si="41"/>
        <v>0</v>
      </c>
      <c r="M161" s="1315">
        <f t="shared" si="41"/>
        <v>0</v>
      </c>
      <c r="N161" s="1315">
        <f t="shared" si="41"/>
        <v>0</v>
      </c>
      <c r="O161" s="1315">
        <f t="shared" si="39"/>
        <v>1731.868493150685</v>
      </c>
    </row>
    <row r="162" spans="2:15" x14ac:dyDescent="0.2">
      <c r="B162" s="1377" t="s">
        <v>729</v>
      </c>
      <c r="E162" s="1315">
        <f>SUMPRODUCT(E144:E150,AI144:AI150)</f>
        <v>0</v>
      </c>
      <c r="F162" s="1315">
        <f>SUMPRODUCT(F144:F150,AJ144:AJ150)</f>
        <v>7.0136986301369859</v>
      </c>
      <c r="G162" s="1315">
        <f t="shared" ref="G162:N162" si="42">SUMPRODUCT(G144:G150,AK144:AK150)</f>
        <v>0</v>
      </c>
      <c r="H162" s="1315">
        <f>SUMPRODUCT(H144:H150,AL144:AL150)</f>
        <v>0</v>
      </c>
      <c r="I162" s="1315">
        <f t="shared" si="42"/>
        <v>0</v>
      </c>
      <c r="J162" s="1315">
        <f t="shared" si="42"/>
        <v>0</v>
      </c>
      <c r="K162" s="1315">
        <f t="shared" si="42"/>
        <v>0</v>
      </c>
      <c r="L162" s="1315">
        <f t="shared" si="42"/>
        <v>0</v>
      </c>
      <c r="M162" s="1315">
        <f t="shared" si="42"/>
        <v>0</v>
      </c>
      <c r="N162" s="1315">
        <f t="shared" si="42"/>
        <v>0</v>
      </c>
      <c r="O162" s="1315">
        <f t="shared" si="39"/>
        <v>7.0136986301369859</v>
      </c>
    </row>
    <row r="163" spans="2:15" x14ac:dyDescent="0.2">
      <c r="B163" s="1378" t="s">
        <v>145</v>
      </c>
      <c r="C163" s="1379"/>
      <c r="D163" s="1379"/>
      <c r="E163" s="1380">
        <f>SUMPRODUCT(E129:E142,AI129:AI142)</f>
        <v>0</v>
      </c>
      <c r="F163" s="1380">
        <f t="shared" ref="F163:N163" si="43">SUMPRODUCT(F129:F142,AJ129:AJ142)</f>
        <v>0</v>
      </c>
      <c r="G163" s="1380">
        <f t="shared" si="43"/>
        <v>0</v>
      </c>
      <c r="H163" s="1380">
        <f t="shared" si="43"/>
        <v>0</v>
      </c>
      <c r="I163" s="1380">
        <f t="shared" si="43"/>
        <v>0</v>
      </c>
      <c r="J163" s="1380">
        <f t="shared" si="43"/>
        <v>0</v>
      </c>
      <c r="K163" s="1380">
        <f t="shared" si="43"/>
        <v>0</v>
      </c>
      <c r="L163" s="1380">
        <f t="shared" si="43"/>
        <v>0</v>
      </c>
      <c r="M163" s="1380">
        <f t="shared" si="43"/>
        <v>0</v>
      </c>
      <c r="N163" s="1380">
        <f t="shared" si="43"/>
        <v>0</v>
      </c>
      <c r="O163" s="1315">
        <f t="shared" si="39"/>
        <v>0</v>
      </c>
    </row>
    <row r="164" spans="2:15" ht="15" x14ac:dyDescent="0.25">
      <c r="B164" s="1381" t="s">
        <v>730</v>
      </c>
      <c r="C164" s="1382"/>
      <c r="D164" s="1382"/>
      <c r="E164" s="1383">
        <f>E157-SUM(E158:E163)</f>
        <v>0</v>
      </c>
      <c r="F164" s="1383">
        <f t="shared" ref="F164:N164" si="44">F157-SUM(F158:F163)</f>
        <v>0</v>
      </c>
      <c r="G164" s="1383">
        <f t="shared" si="44"/>
        <v>0</v>
      </c>
      <c r="H164" s="1383">
        <f t="shared" si="44"/>
        <v>0</v>
      </c>
      <c r="I164" s="1383">
        <f t="shared" si="44"/>
        <v>0</v>
      </c>
      <c r="J164" s="1383">
        <f t="shared" si="44"/>
        <v>0</v>
      </c>
      <c r="K164" s="1383">
        <f t="shared" si="44"/>
        <v>0</v>
      </c>
      <c r="L164" s="1383">
        <f t="shared" si="44"/>
        <v>0</v>
      </c>
      <c r="M164" s="1383">
        <f t="shared" si="44"/>
        <v>0</v>
      </c>
      <c r="N164" s="1384">
        <f t="shared" si="44"/>
        <v>0</v>
      </c>
    </row>
  </sheetData>
  <mergeCells count="7">
    <mergeCell ref="S4:S5"/>
    <mergeCell ref="Q6:Q7"/>
    <mergeCell ref="R6:R7"/>
    <mergeCell ref="A1:O1"/>
    <mergeCell ref="A2:O2"/>
    <mergeCell ref="A3:O3"/>
    <mergeCell ref="A4:O4"/>
  </mergeCells>
  <printOptions horizontalCentered="1"/>
  <pageMargins left="0" right="0" top="0" bottom="0" header="0" footer="0"/>
  <pageSetup scale="57" orientation="landscape" r:id="rId1"/>
  <rowBreaks count="2" manualBreakCount="2">
    <brk id="40" max="17" man="1"/>
    <brk id="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Resumen</vt:lpstr>
      <vt:lpstr>CX cxj Año1 </vt:lpstr>
      <vt:lpstr>CX cxj Año2</vt:lpstr>
      <vt:lpstr>CX cxj Año3</vt:lpstr>
      <vt:lpstr>CX cxj Año4</vt:lpstr>
      <vt:lpstr>VERIFICACIÓN DE INGRESOS</vt:lpstr>
      <vt:lpstr> VNR</vt:lpstr>
      <vt:lpstr>SALIDAS Y TRANSFORMACION</vt:lpstr>
      <vt:lpstr>Plan de Expansión</vt:lpstr>
      <vt:lpstr>N de Instalaciones</vt:lpstr>
      <vt:lpstr>VNR APROBADO</vt:lpstr>
      <vt:lpstr>IMP Existente APROBADO</vt:lpstr>
      <vt:lpstr>IPCT VNR_FA</vt:lpstr>
      <vt:lpstr>Parámetros de eficiencia</vt:lpstr>
      <vt:lpstr>Activos Reconocidos</vt:lpstr>
      <vt:lpstr> IMP Existente 2017 2021</vt:lpstr>
      <vt:lpstr>Activos Reconocidos APROBADOS</vt:lpstr>
      <vt:lpstr>VNR consulta (015 17)</vt:lpstr>
      <vt:lpstr>Ingreso Conexion (1er sem)</vt:lpstr>
      <vt:lpstr>LL.SANCHEZ CONEX 230</vt:lpstr>
      <vt:lpstr>CHORRERA CONEX 230</vt:lpstr>
      <vt:lpstr>CH. AZUL CONEX 115</vt:lpstr>
      <vt:lpstr>' IMP Existente 2017 2021'!ActNetoHidro</vt:lpstr>
      <vt:lpstr>' IMP Existente 2017 2021'!Área_de_impresión</vt:lpstr>
      <vt:lpstr>' VNR'!Área_de_impresión</vt:lpstr>
      <vt:lpstr>'Activos Reconocidos APROBADOS'!Área_de_impresión</vt:lpstr>
      <vt:lpstr>'CX cxj Año1 '!Área_de_impresión</vt:lpstr>
      <vt:lpstr>'IMP Existente APROBADO'!Área_de_impresión</vt:lpstr>
      <vt:lpstr>'N de Instalaciones'!Área_de_impresión</vt:lpstr>
      <vt:lpstr>'Parámetros de eficiencia'!Área_de_impresión</vt:lpstr>
      <vt:lpstr>'Plan de Expansión'!Área_de_impresión</vt:lpstr>
      <vt:lpstr>Resumen!Área_de_impresión</vt:lpstr>
      <vt:lpstr>'SALIDAS Y TRANSFORMACION'!Área_de_impresión</vt:lpstr>
      <vt:lpstr>DepAnualHidro</vt:lpstr>
      <vt:lpstr>DepHidro</vt:lpstr>
      <vt:lpstr>' IMP Existente 2017 2021'!RRT</vt:lpstr>
      <vt:lpstr>'IMP Existente APROBADO'!RRT</vt:lpstr>
      <vt:lpstr>'CX cxj Año1 '!Títulos_a_imprimir</vt:lpstr>
      <vt:lpstr>Resumen!Títulos_a_imprimir</vt:lpstr>
      <vt:lpstr>'VERIFICACIÓN DE INGRESOS'!Títulos_a_imprimir</vt:lpstr>
      <vt:lpstr>'VNR APROBADO'!VNR_Lineas</vt:lpstr>
      <vt:lpstr>'VNR consulta (015 17)'!VNR_Lineas</vt:lpstr>
      <vt:lpstr>VNR_Lineas_Conexión</vt:lpstr>
      <vt:lpstr>'VNR APROBADO'!VNR_Subestaciones_Conexión</vt:lpstr>
      <vt:lpstr>'VNR consulta (015 17)'!VNR_Subestaciones_Conexión</vt:lpstr>
      <vt:lpstr>'VNR APROBADO'!VNR_Subestaciones_Estrategicas</vt:lpstr>
      <vt:lpstr>'VNR consulta (015 17)'!VNR_Subestaciones_Estrategicas</vt:lpstr>
      <vt:lpstr>'VNR APROBADO'!VNR_Subestaciones_SPT</vt:lpstr>
      <vt:lpstr>'VNR consulta (015 17)'!VNR_Subestaciones_SPT</vt:lpstr>
    </vt:vector>
  </TitlesOfParts>
  <Company>ETESA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Cargos por Conexión</dc:title>
  <dc:subject>Cálculos Preliminares con IMP en Consulta</dc:subject>
  <dc:creator>Mrivera</dc:creator>
  <dc:description>Información: VNR/Subetaciones: Luis Gomez: , VNRLíneas: Daniel Pereira&amp; Julio Ho; Calculos borrador: Ana Hernández; Revisión: Julio Ho</dc:description>
  <cp:lastModifiedBy>Jorge Medina</cp:lastModifiedBy>
  <cp:lastPrinted>2018-01-11T17:00:04Z</cp:lastPrinted>
  <dcterms:created xsi:type="dcterms:W3CDTF">2005-04-08T15:43:16Z</dcterms:created>
  <dcterms:modified xsi:type="dcterms:W3CDTF">2023-03-31T13:18:12Z</dcterms:modified>
</cp:coreProperties>
</file>