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Jorge Abril 23\pliego tarifario\Nueva entrega\Pliego Trifario 2021 -2025 ref. 18267\Cargos SOI\"/>
    </mc:Choice>
  </mc:AlternateContent>
  <bookViews>
    <workbookView xWindow="28680" yWindow="-120" windowWidth="29040" windowHeight="15720" tabRatio="854" firstSheet="4" activeTab="4"/>
  </bookViews>
  <sheets>
    <sheet name="AT4 D Y C" sheetId="46" state="hidden" r:id="rId1"/>
    <sheet name="AT3 D Y C" sheetId="45" state="hidden" r:id="rId2"/>
    <sheet name="AT2 D Y C" sheetId="44" state="hidden" r:id="rId3"/>
    <sheet name="AT1 D Y C" sheetId="43" state="hidden" r:id="rId4"/>
    <sheet name="Cargos SOI" sheetId="14" r:id="rId5"/>
    <sheet name="IMP Existente" sheetId="58" r:id="rId6"/>
    <sheet name="IMP-SOI %" sheetId="15" r:id="rId7"/>
    <sheet name="Resumen Dem  Y Cap" sheetId="38" r:id="rId8"/>
    <sheet name="Capacidad Instalada (1 cuadro)" sheetId="59" r:id="rId9"/>
    <sheet name="Demanda Maxima" sheetId="60" r:id="rId10"/>
    <sheet name="Julio-Dic 2013" sheetId="42" state="hidden" r:id="rId11"/>
    <sheet name="Balance" sheetId="49" state="hidden" r:id="rId12"/>
    <sheet name="ipc" sheetId="54" state="hidden" r:id="rId13"/>
    <sheet name="IMP" sheetId="47" state="hidden" r:id="rId14"/>
    <sheet name="Datos fijos año 1 Real" sheetId="57" state="hidden" r:id="rId15"/>
    <sheet name="IMP Actualizado viejo" sheetId="51"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0" localSheetId="14">#REF!</definedName>
    <definedName name="\0" localSheetId="13">#REF!</definedName>
    <definedName name="\0" localSheetId="15">#REF!</definedName>
    <definedName name="\0">#REF!</definedName>
    <definedName name="\a" localSheetId="13">#REF!</definedName>
    <definedName name="\a" localSheetId="15">#REF!</definedName>
    <definedName name="\a">#REF!</definedName>
    <definedName name="\b" localSheetId="13">#REF!</definedName>
    <definedName name="\b" localSheetId="15">#REF!</definedName>
    <definedName name="\b">#REF!</definedName>
    <definedName name="\c" localSheetId="15">#REF!</definedName>
    <definedName name="\c">#REF!</definedName>
    <definedName name="\d" localSheetId="15">#REF!</definedName>
    <definedName name="\d">#REF!</definedName>
    <definedName name="\e" localSheetId="15">#REF!</definedName>
    <definedName name="\e">#REF!</definedName>
    <definedName name="\f" localSheetId="15">#REF!</definedName>
    <definedName name="\f">#REF!</definedName>
    <definedName name="\g" localSheetId="15">#REF!</definedName>
    <definedName name="\g">#REF!</definedName>
    <definedName name="\h" localSheetId="15">#REF!</definedName>
    <definedName name="\h">#REF!</definedName>
    <definedName name="\i" localSheetId="15">#REF!</definedName>
    <definedName name="\i">#REF!</definedName>
    <definedName name="\j" localSheetId="15">#REF!</definedName>
    <definedName name="\j">#REF!</definedName>
    <definedName name="\k" localSheetId="15">#REF!</definedName>
    <definedName name="\k">#REF!</definedName>
    <definedName name="\m" localSheetId="15">#REF!</definedName>
    <definedName name="\m">#REF!</definedName>
    <definedName name="\r" localSheetId="15">#REF!</definedName>
    <definedName name="\r">#REF!</definedName>
    <definedName name="\w" localSheetId="15">#REF!</definedName>
    <definedName name="\w">#REF!</definedName>
    <definedName name="\z" localSheetId="15">#REF!</definedName>
    <definedName name="\z">#REF!</definedName>
    <definedName name="____PRO2">#REF!</definedName>
    <definedName name="___PRO2">#REF!</definedName>
    <definedName name="__123Graph_AGrßfico1" hidden="1">'[1]2001-2005-Contraloría'!#REF!</definedName>
    <definedName name="__123Graph_XGrßfico1" hidden="1">'[1]2001-2005-Contraloría'!#REF!</definedName>
    <definedName name="__ABR1">#REF!</definedName>
    <definedName name="__ABR2">#REF!</definedName>
    <definedName name="__AGO1">#REF!</definedName>
    <definedName name="__AGO2">#REF!</definedName>
    <definedName name="__CFP1">#REF!</definedName>
    <definedName name="__COP1">#REF!</definedName>
    <definedName name="__CRM1">#REF!</definedName>
    <definedName name="__CRM2">#REF!</definedName>
    <definedName name="__DIC2">#REF!</definedName>
    <definedName name="__ENE1">#REF!</definedName>
    <definedName name="__ENE2">#REF!</definedName>
    <definedName name="__ERP1">#REF!</definedName>
    <definedName name="__ESP1">#REF!</definedName>
    <definedName name="__FEB1">#REF!</definedName>
    <definedName name="__FEB2">#REF!</definedName>
    <definedName name="__JUL1">#REF!</definedName>
    <definedName name="__JUL2">#REF!</definedName>
    <definedName name="__JUN1">#REF!</definedName>
    <definedName name="__JUN2">#REF!</definedName>
    <definedName name="__MAR1">#REF!</definedName>
    <definedName name="__MAR2">#REF!</definedName>
    <definedName name="__MAY1">#REF!</definedName>
    <definedName name="__MAY2">#REF!</definedName>
    <definedName name="__NOV1">#REF!</definedName>
    <definedName name="__NOV2">#REF!</definedName>
    <definedName name="__OAP1">#REF!</definedName>
    <definedName name="__OCT1">#REF!</definedName>
    <definedName name="__OCT2">#REF!</definedName>
    <definedName name="__PRO1">#REF!</definedName>
    <definedName name="__PRO2">#REF!</definedName>
    <definedName name="__PRO3">#REF!</definedName>
    <definedName name="__PRO4">#REF!</definedName>
    <definedName name="__RFP1">#REF!</definedName>
    <definedName name="__SE1">#REF!</definedName>
    <definedName name="__SE11">#REF!</definedName>
    <definedName name="__SE12">#REF!</definedName>
    <definedName name="__SE13">#REF!</definedName>
    <definedName name="__SE14">#REF!</definedName>
    <definedName name="__SE15">#REF!</definedName>
    <definedName name="__SE16">#REF!</definedName>
    <definedName name="__SE2">#REF!</definedName>
    <definedName name="__SE3">#REF!</definedName>
    <definedName name="__SE4">#REF!</definedName>
    <definedName name="__SE5">#REF!</definedName>
    <definedName name="__SE6">#REF!</definedName>
    <definedName name="__SEP1">#REF!</definedName>
    <definedName name="__SEP2">#REF!</definedName>
    <definedName name="__TST1">#REF!</definedName>
    <definedName name="__TST2">#REF!</definedName>
    <definedName name="__TST3">#REF!</definedName>
    <definedName name="_12__123Graph_XGrßfico_1A" hidden="1">'[1]2001-2005-Contraloría'!#REF!</definedName>
    <definedName name="_123Gph_AGrBfico3A" hidden="1">'[2]2001-2008Contraloría Historico'!#REF!</definedName>
    <definedName name="_123Graph_XGrBfico1B" hidden="1">'[2]2001-2008Contraloría Historico'!#REF!</definedName>
    <definedName name="_123Grph_XGrBfico2A" hidden="1">'[2]2001-2008Contraloría Historico'!#REF!</definedName>
    <definedName name="_123Grph_YGRBfico3" hidden="1">'[2]2001-2008Contraloría Historico'!#REF!</definedName>
    <definedName name="_12Val_" hidden="1">'[3]2001-2012 Contraloría Historico'!#REF!</definedName>
    <definedName name="_2" localSheetId="15">#REF!</definedName>
    <definedName name="_2">#REF!</definedName>
    <definedName name="_2__123Graph_AGrßfico_1A" hidden="1">'[1]2001-2005-Contraloría'!#REF!</definedName>
    <definedName name="_321" hidden="1">'[2]2001-2008Contraloría Historico'!#REF!</definedName>
    <definedName name="_3210" hidden="1">'[2]2001-2008Contraloría Historico'!#REF!</definedName>
    <definedName name="_4__123Graph_AGrßfico_1A" hidden="1">'[1]2001-2005-Contraloría'!#REF!</definedName>
    <definedName name="_4__123Graph_XGrßfico_1A" hidden="1">'[1]2001-2005-Contraloría'!#REF!</definedName>
    <definedName name="_43__123Graph_AGrßfico_1A" hidden="1">'[4]2001-2012 Contraloría Historico'!#REF!</definedName>
    <definedName name="_6__123Graph_AGrßfico_1A" hidden="1">'[1]2001-2005-Contraloría'!#REF!</definedName>
    <definedName name="_8__123Graph_XGrßfico_1A" hidden="1">'[1]2001-2005-Contraloría'!#REF!</definedName>
    <definedName name="_86__123Graph_XGrßfico_1A" hidden="1">'[4]2001-2012 Contraloría Historico'!#REF!</definedName>
    <definedName name="_ABR1">#REF!</definedName>
    <definedName name="_ABR2">#REF!</definedName>
    <definedName name="_AGO1">#REF!</definedName>
    <definedName name="_AGO2">#REF!</definedName>
    <definedName name="_CFP1" localSheetId="15">#REF!</definedName>
    <definedName name="_CFP1">#REF!</definedName>
    <definedName name="_COP1" localSheetId="15">#REF!</definedName>
    <definedName name="_COP1">#REF!</definedName>
    <definedName name="_CRM1">#REF!</definedName>
    <definedName name="_CRM2">#REF!</definedName>
    <definedName name="_DIC2">#REF!</definedName>
    <definedName name="_ENE1">#REF!</definedName>
    <definedName name="_ENE2">#REF!</definedName>
    <definedName name="_ERP1" localSheetId="15">#REF!</definedName>
    <definedName name="_ERP1">#REF!</definedName>
    <definedName name="_ESP1" localSheetId="15">#REF!</definedName>
    <definedName name="_ESP1">#REF!</definedName>
    <definedName name="_FEB1">#REF!</definedName>
    <definedName name="_FEB2">#REF!</definedName>
    <definedName name="_Fill" localSheetId="15" hidden="1">#REF!</definedName>
    <definedName name="_Fill" localSheetId="5" hidden="1">#REF!</definedName>
    <definedName name="_Fill" hidden="1">#REF!</definedName>
    <definedName name="_xlnm._FilterDatabase" localSheetId="8" hidden="1">'Capacidad Instalada (1 cuadro)'!$B$4:$M$12</definedName>
    <definedName name="_intracorp" hidden="1">'[2]2001-2008Contraloría Historico'!#REF!</definedName>
    <definedName name="_intracorpGraph" hidden="1">'[2]2001-2008Contraloría Historico'!#REF!</definedName>
    <definedName name="_JUL1">#REF!</definedName>
    <definedName name="_JUL2">#REF!</definedName>
    <definedName name="_JUN1">#REF!</definedName>
    <definedName name="_JUN2">#REF!</definedName>
    <definedName name="_MAR1">#REF!</definedName>
    <definedName name="_MAR2">#REF!</definedName>
    <definedName name="_MAY1">#REF!</definedName>
    <definedName name="_MAY2">#REF!</definedName>
    <definedName name="_NOV1">#REF!</definedName>
    <definedName name="_NOV2">#REF!</definedName>
    <definedName name="_OAP1" localSheetId="15">#REF!</definedName>
    <definedName name="_OAP1">#REF!</definedName>
    <definedName name="_OCT1">#REF!</definedName>
    <definedName name="_OCT2">#REF!</definedName>
    <definedName name="_PRO1">#REF!</definedName>
    <definedName name="_PRO2" localSheetId="15">#REF!</definedName>
    <definedName name="_PRO2">#REF!</definedName>
    <definedName name="_PRO3" localSheetId="15">#REF!</definedName>
    <definedName name="_PRO3">#REF!</definedName>
    <definedName name="_PRO4" localSheetId="15">#REF!</definedName>
    <definedName name="_PRO4">#REF!</definedName>
    <definedName name="_RFP1" localSheetId="15">#REF!</definedName>
    <definedName name="_RFP1">#REF!</definedName>
    <definedName name="_SE1" localSheetId="15">#REF!</definedName>
    <definedName name="_SE1">#REF!</definedName>
    <definedName name="_SE11" localSheetId="15">#REF!</definedName>
    <definedName name="_SE11">#REF!</definedName>
    <definedName name="_SE12" localSheetId="15">#REF!</definedName>
    <definedName name="_SE12">#REF!</definedName>
    <definedName name="_SE13" localSheetId="15">#REF!</definedName>
    <definedName name="_SE13">#REF!</definedName>
    <definedName name="_SE14" localSheetId="15">#REF!</definedName>
    <definedName name="_SE14">#REF!</definedName>
    <definedName name="_SE15" localSheetId="15">#REF!</definedName>
    <definedName name="_SE15">#REF!</definedName>
    <definedName name="_SE16" localSheetId="15">#REF!</definedName>
    <definedName name="_SE16">#REF!</definedName>
    <definedName name="_SE2" localSheetId="15">#REF!</definedName>
    <definedName name="_SE2">#REF!</definedName>
    <definedName name="_SE3" localSheetId="15">#REF!</definedName>
    <definedName name="_SE3">#REF!</definedName>
    <definedName name="_SE4" localSheetId="15">#REF!</definedName>
    <definedName name="_SE4">#REF!</definedName>
    <definedName name="_SE5" localSheetId="15">#REF!</definedName>
    <definedName name="_SE5">#REF!</definedName>
    <definedName name="_SE6" localSheetId="15">#REF!</definedName>
    <definedName name="_SE6">#REF!</definedName>
    <definedName name="_SEP1">#REF!</definedName>
    <definedName name="_SEP2">#REF!</definedName>
    <definedName name="_TST1" localSheetId="15">#REF!</definedName>
    <definedName name="_TST1">#REF!</definedName>
    <definedName name="_TST2" localSheetId="15">#REF!</definedName>
    <definedName name="_TST2">#REF!</definedName>
    <definedName name="_TST3" localSheetId="15">#REF!</definedName>
    <definedName name="_TST3">#REF!</definedName>
    <definedName name="A_IMPRESIÓN_IM" localSheetId="15">#REF!</definedName>
    <definedName name="A_IMPRESIÓN_IM">#REF!</definedName>
    <definedName name="ActNetoHidro" localSheetId="14">'[5]IMPA Indicativo'!#REF!</definedName>
    <definedName name="ActNetoHidro" localSheetId="5">'IMP Existente'!$D$23:$I$23</definedName>
    <definedName name="ActNetoHidro">'[5]IMPA Indicativo'!#REF!</definedName>
    <definedName name="ACTUAL" localSheetId="14">#REF!</definedName>
    <definedName name="ACTUAL" localSheetId="15">#REF!</definedName>
    <definedName name="ACTUAL">#REF!</definedName>
    <definedName name="ANOS" localSheetId="15">#REF!</definedName>
    <definedName name="ANOS">#REF!</definedName>
    <definedName name="ANOSHIS" localSheetId="15">#REF!</definedName>
    <definedName name="ANOSHIS">#REF!</definedName>
    <definedName name="ANOUNO" localSheetId="15">#REF!</definedName>
    <definedName name="ANOUNO">#REF!</definedName>
    <definedName name="_xlnm.Extract" localSheetId="15">#REF!</definedName>
    <definedName name="_xlnm.Extract">#REF!</definedName>
    <definedName name="_xlnm.Print_Area" localSheetId="4">'Cargos SOI'!$B$1:$H$36</definedName>
    <definedName name="_xlnm.Print_Area" localSheetId="14">'Datos fijos año 1 Real'!$A$15:$E$161</definedName>
    <definedName name="_xlnm.Print_Area" localSheetId="15">'IMP Actualizado viejo'!$A$1:$N$96</definedName>
    <definedName name="_xlnm.Print_Area" localSheetId="6">'IMP-SOI %'!$B$1:$L$14</definedName>
    <definedName name="_xlnm.Print_Area" localSheetId="12">ipc!$A$1:$R$46</definedName>
    <definedName name="ASSUMPTIONS" localSheetId="14">#REF!</definedName>
    <definedName name="ASSUMPTIONS" localSheetId="13">#REF!</definedName>
    <definedName name="ASSUMPTIONS" localSheetId="15">#REF!</definedName>
    <definedName name="ASSUMPTIONS">#REF!</definedName>
    <definedName name="BALANCE_SH" localSheetId="13">#REF!</definedName>
    <definedName name="BALANCE_SH" localSheetId="15">#REF!</definedName>
    <definedName name="BALANCE_SH">#REF!</definedName>
    <definedName name="Base_datos_IM" localSheetId="13">#REF!</definedName>
    <definedName name="Base_datos_IM" localSheetId="15">#REF!</definedName>
    <definedName name="Base_datos_IM">#REF!</definedName>
    <definedName name="_xlnm.Database" localSheetId="15">#REF!</definedName>
    <definedName name="_xlnm.Database">#REF!</definedName>
    <definedName name="BASIC_DATA" localSheetId="15">#REF!</definedName>
    <definedName name="BASIC_DATA">#REF!</definedName>
    <definedName name="BASICO" localSheetId="15">#REF!</definedName>
    <definedName name="BASICO">#REF!</definedName>
    <definedName name="BLANK" localSheetId="15">#REF!</definedName>
    <definedName name="BLANK">#REF!</definedName>
    <definedName name="Blev" localSheetId="15">#REF!</definedName>
    <definedName name="Blev">#REF!</definedName>
    <definedName name="Bu" localSheetId="15">#REF!</definedName>
    <definedName name="Bu">#REF!</definedName>
    <definedName name="CALCULAR" localSheetId="15">#REF!</definedName>
    <definedName name="CALCULAR">#REF!</definedName>
    <definedName name="CASH_FL" localSheetId="15">#REF!</definedName>
    <definedName name="CASH_FL">#REF!</definedName>
    <definedName name="CASH_FLOW_RPT" localSheetId="15">#REF!</definedName>
    <definedName name="CASH_FLOW_RPT">#REF!</definedName>
    <definedName name="CASH_RPT_BR_ROW" localSheetId="15">#REF!</definedName>
    <definedName name="CASH_RPT_BR_ROW">#REF!</definedName>
    <definedName name="CASH_RPT_HEADER" localSheetId="15">#REF!</definedName>
    <definedName name="CASH_RPT_HEADER">#REF!</definedName>
    <definedName name="CASHFLOW" localSheetId="15">#REF!</definedName>
    <definedName name="CASHFLOW">#REF!</definedName>
    <definedName name="CBASE" localSheetId="15">#REF!</definedName>
    <definedName name="CBASE">#REF!</definedName>
    <definedName name="CCC" localSheetId="15">#REF!</definedName>
    <definedName name="CCC">#REF!</definedName>
    <definedName name="CF_CY" localSheetId="15">#REF!</definedName>
    <definedName name="CF_CY">#REF!</definedName>
    <definedName name="CFP" localSheetId="15">#REF!</definedName>
    <definedName name="CFP">#REF!</definedName>
    <definedName name="CFPC" localSheetId="15">#REF!</definedName>
    <definedName name="CFPC">#REF!</definedName>
    <definedName name="CFPDATA" localSheetId="15">#REF!</definedName>
    <definedName name="CFPDATA">#REF!</definedName>
    <definedName name="CFPTITLES" localSheetId="15">#REF!</definedName>
    <definedName name="CFPTITLES">#REF!</definedName>
    <definedName name="CFTITLE" localSheetId="15">#REF!</definedName>
    <definedName name="CFTITLE">#REF!</definedName>
    <definedName name="CFUNIT" localSheetId="15">#REF!</definedName>
    <definedName name="CFUNIT">#REF!</definedName>
    <definedName name="CHANGES" localSheetId="15">#REF!</definedName>
    <definedName name="CHANGES">#REF!</definedName>
    <definedName name="CHECAMAC" localSheetId="15">#REF!</definedName>
    <definedName name="CHECAMAC">#REF!</definedName>
    <definedName name="CHECAOPT" localSheetId="15">#REF!</definedName>
    <definedName name="CHECAOPT">#REF!</definedName>
    <definedName name="CO_CY" localSheetId="15">#REF!</definedName>
    <definedName name="CO_CY">#REF!</definedName>
    <definedName name="COLTOTAL" localSheetId="15">#REF!</definedName>
    <definedName name="COLTOTAL">#REF!</definedName>
    <definedName name="COLWIDE" localSheetId="15">#REF!</definedName>
    <definedName name="COLWIDE">#REF!</definedName>
    <definedName name="CON_ACC_REC" localSheetId="15">#REF!</definedName>
    <definedName name="CON_ACC_REC">#REF!</definedName>
    <definedName name="CON_ALL_REPORT" localSheetId="15">#REF!</definedName>
    <definedName name="CON_ALL_REPORT">#REF!</definedName>
    <definedName name="CON_NETWORTH" localSheetId="15">#REF!</definedName>
    <definedName name="CON_NETWORTH">#REF!</definedName>
    <definedName name="CON_PAS_COR" localSheetId="15">#REF!</definedName>
    <definedName name="CON_PAS_COR">#REF!</definedName>
    <definedName name="CON_REPT_FOOTER" localSheetId="15">#REF!</definedName>
    <definedName name="CON_REPT_FOOTER">#REF!</definedName>
    <definedName name="CON_REPT_HEADER" localSheetId="15">#REF!</definedName>
    <definedName name="CON_REPT_HEADER">#REF!</definedName>
    <definedName name="CON_REVENUE" localSheetId="15">#REF!</definedName>
    <definedName name="CON_REVENUE">#REF!</definedName>
    <definedName name="CON_RPT_BOR_COL" localSheetId="15">#REF!</definedName>
    <definedName name="CON_RPT_BOR_COL">#REF!</definedName>
    <definedName name="CON_RPT_BOR_ROW" localSheetId="15">#REF!</definedName>
    <definedName name="CON_RPT_BOR_ROW">#REF!</definedName>
    <definedName name="CON_VOLUMES" localSheetId="15">#REF!</definedName>
    <definedName name="CON_VOLUMES">#REF!</definedName>
    <definedName name="CONEX" localSheetId="15">#REF!</definedName>
    <definedName name="CONEX">#REF!</definedName>
    <definedName name="CONSOL_FIXED_AS" localSheetId="15">#REF!</definedName>
    <definedName name="CONSOL_FIXED_AS">#REF!</definedName>
    <definedName name="CONSOL_FUENTE_I" localSheetId="15">#REF!</definedName>
    <definedName name="CONSOL_FUENTE_I">#REF!</definedName>
    <definedName name="CONSOL_RPT" localSheetId="15">#REF!</definedName>
    <definedName name="CONSOL_RPT">#REF!</definedName>
    <definedName name="CONSOLIDA" localSheetId="15">#REF!</definedName>
    <definedName name="CONSOLIDA">#REF!</definedName>
    <definedName name="CONSOLIDATION" localSheetId="15">#REF!</definedName>
    <definedName name="CONSOLIDATION">#REF!</definedName>
    <definedName name="COP" localSheetId="15">#REF!</definedName>
    <definedName name="COP">#REF!</definedName>
    <definedName name="COPDATA" localSheetId="15">#REF!</definedName>
    <definedName name="COPDATA">#REF!</definedName>
    <definedName name="COTITLE" localSheetId="15">#REF!</definedName>
    <definedName name="COTITLE">#REF!</definedName>
    <definedName name="COUNIT" localSheetId="15">#REF!</definedName>
    <definedName name="COUNIT">#REF!</definedName>
    <definedName name="_xlnm.Criteria" localSheetId="15">#REF!</definedName>
    <definedName name="_xlnm.Criteria">#REF!</definedName>
    <definedName name="Criterios_IM" localSheetId="15">#REF!</definedName>
    <definedName name="Criterios_IM">#REF!</definedName>
    <definedName name="CSD" localSheetId="15">#REF!</definedName>
    <definedName name="CSD">#REF!</definedName>
    <definedName name="CY_DOLAR" localSheetId="15">#REF!</definedName>
    <definedName name="CY_DOLAR">#REF!</definedName>
    <definedName name="CY_LOCAL" localSheetId="15">#REF!</definedName>
    <definedName name="CY_LOCAL">#REF!</definedName>
    <definedName name="D" localSheetId="12">#REF!</definedName>
    <definedName name="D">#REF!</definedName>
    <definedName name="D1_" localSheetId="12">#REF!</definedName>
    <definedName name="D1_">#REF!</definedName>
    <definedName name="D2_" localSheetId="12">#REF!</definedName>
    <definedName name="D2_">#REF!</definedName>
    <definedName name="D3_" localSheetId="12">#REF!</definedName>
    <definedName name="D3_">#REF!</definedName>
    <definedName name="D4_" localSheetId="12">#REF!</definedName>
    <definedName name="D4_">#REF!</definedName>
    <definedName name="D5_">#N/A</definedName>
    <definedName name="D6_">#N/A</definedName>
    <definedName name="D7_" localSheetId="14">#REF!</definedName>
    <definedName name="D7_" localSheetId="12">#REF!</definedName>
    <definedName name="D7_">#REF!</definedName>
    <definedName name="D8_" localSheetId="12">#REF!</definedName>
    <definedName name="D8_">#REF!</definedName>
    <definedName name="DATOSE" localSheetId="15">#REF!</definedName>
    <definedName name="DATOSE">#REF!</definedName>
    <definedName name="DBHH" localSheetId="15">#REF!</definedName>
    <definedName name="DBHH">#REF!</definedName>
    <definedName name="DBPC" localSheetId="15">#REF!</definedName>
    <definedName name="DBPC">#REF!</definedName>
    <definedName name="DBT" localSheetId="15">#REF!</definedName>
    <definedName name="DBT">#REF!</definedName>
    <definedName name="DCOL" localSheetId="15">#REF!</definedName>
    <definedName name="DCOL">#REF!</definedName>
    <definedName name="DE" localSheetId="15">#REF!</definedName>
    <definedName name="DE">#REF!</definedName>
    <definedName name="DECI" localSheetId="15">#REF!</definedName>
    <definedName name="DECI">#REF!</definedName>
    <definedName name="DENOMINATION" localSheetId="15">#REF!</definedName>
    <definedName name="DENOMINATION">#REF!</definedName>
    <definedName name="DEPRINT" localSheetId="15">#REF!</definedName>
    <definedName name="DEPRINT">#REF!</definedName>
    <definedName name="derfgtttttt">[6]Hidrometeorología!$D$14</definedName>
    <definedName name="DEUDA" localSheetId="15">#REF!</definedName>
    <definedName name="DEUDA">#REF!</definedName>
    <definedName name="DEUDAL" localSheetId="15">#REF!</definedName>
    <definedName name="DEUDAL">#REF!</definedName>
    <definedName name="dfres">[6]Hidrometeorología!$D$14</definedName>
    <definedName name="DV" localSheetId="15">#REF!</definedName>
    <definedName name="DV">#REF!</definedName>
    <definedName name="ENTRY" localSheetId="15">#REF!</definedName>
    <definedName name="ENTRY">#REF!</definedName>
    <definedName name="ER_CY" localSheetId="15">#REF!</definedName>
    <definedName name="ER_CY">#REF!</definedName>
    <definedName name="ERHACTUAL" localSheetId="15">#REF!</definedName>
    <definedName name="ERHACTUAL">#REF!</definedName>
    <definedName name="ERHDATA10YEARS" localSheetId="15">#REF!</definedName>
    <definedName name="ERHDATA10YEARS">#REF!</definedName>
    <definedName name="ERHDATA5" localSheetId="15">#REF!</definedName>
    <definedName name="ERHDATA5">#REF!</definedName>
    <definedName name="ERHTITLES" localSheetId="15">#REF!</definedName>
    <definedName name="ERHTITLES">#REF!</definedName>
    <definedName name="ERP" localSheetId="15">#REF!</definedName>
    <definedName name="ERP">#REF!</definedName>
    <definedName name="ERP_LAST" localSheetId="15">#REF!</definedName>
    <definedName name="ERP_LAST">#REF!</definedName>
    <definedName name="ERP0" localSheetId="15">#REF!</definedName>
    <definedName name="ERP0">#REF!</definedName>
    <definedName name="ERPC" localSheetId="15">#REF!</definedName>
    <definedName name="ERPC">#REF!</definedName>
    <definedName name="ERPDATA" localSheetId="15">#REF!</definedName>
    <definedName name="ERPDATA">#REF!</definedName>
    <definedName name="ERPTITLES" localSheetId="15">#REF!</definedName>
    <definedName name="ERPTITLES">#REF!</definedName>
    <definedName name="ERPUNO" localSheetId="15">#REF!</definedName>
    <definedName name="ERPUNO">#REF!</definedName>
    <definedName name="ERPWP" localSheetId="15">#REF!</definedName>
    <definedName name="ERPWP">#REF!</definedName>
    <definedName name="ERTITLE" localSheetId="15">#REF!</definedName>
    <definedName name="ERTITLE">#REF!</definedName>
    <definedName name="ERUNIT" localSheetId="15">#REF!</definedName>
    <definedName name="ERUNIT">#REF!</definedName>
    <definedName name="ES_CY" localSheetId="15">#REF!</definedName>
    <definedName name="ES_CY">#REF!</definedName>
    <definedName name="ESP" localSheetId="15">#REF!</definedName>
    <definedName name="ESP">#REF!</definedName>
    <definedName name="ESP_LAST" localSheetId="15">#REF!</definedName>
    <definedName name="ESP_LAST">#REF!</definedName>
    <definedName name="ESP0" localSheetId="15">#REF!</definedName>
    <definedName name="ESP0">#REF!</definedName>
    <definedName name="ESPACTUAL" localSheetId="15">#REF!</definedName>
    <definedName name="ESPACTUAL">#REF!</definedName>
    <definedName name="ESPANOL" localSheetId="15">#REF!</definedName>
    <definedName name="ESPANOL">#REF!</definedName>
    <definedName name="ESPC" localSheetId="15">#REF!</definedName>
    <definedName name="ESPC">#REF!</definedName>
    <definedName name="ESPDATA" localSheetId="15">#REF!</definedName>
    <definedName name="ESPDATA">#REF!</definedName>
    <definedName name="ESPTITLES" localSheetId="15">#REF!</definedName>
    <definedName name="ESPTITLES">#REF!</definedName>
    <definedName name="ESPUNO" localSheetId="15">#REF!</definedName>
    <definedName name="ESPUNO">#REF!</definedName>
    <definedName name="ESTITLE" localSheetId="15">#REF!</definedName>
    <definedName name="ESTITLE">#REF!</definedName>
    <definedName name="ESUNIT" localSheetId="15">#REF!</definedName>
    <definedName name="ESUNIT">#REF!</definedName>
    <definedName name="EXIT" localSheetId="15">#REF!</definedName>
    <definedName name="EXIT">#REF!</definedName>
    <definedName name="Extracción_IM" localSheetId="15">#REF!</definedName>
    <definedName name="Extracción_IM">#REF!</definedName>
    <definedName name="FACEL" localSheetId="15">#REF!</definedName>
    <definedName name="FACEL">#REF!</definedName>
    <definedName name="FACWA" localSheetId="15">#REF!</definedName>
    <definedName name="FACWA">#REF!</definedName>
    <definedName name="FILE1" localSheetId="15">#REF!</definedName>
    <definedName name="FILE1">#REF!</definedName>
    <definedName name="FILE2" localSheetId="15">#REF!</definedName>
    <definedName name="FILE2">#REF!</definedName>
    <definedName name="FILE3" localSheetId="15">#REF!</definedName>
    <definedName name="FILE3">#REF!</definedName>
    <definedName name="FILE4" localSheetId="15">#REF!</definedName>
    <definedName name="FILE4">#REF!</definedName>
    <definedName name="FILE5" localSheetId="15">#REF!</definedName>
    <definedName name="FILE5">#REF!</definedName>
    <definedName name="FILE6" localSheetId="15">#REF!</definedName>
    <definedName name="FILE6">#REF!</definedName>
    <definedName name="FILE7" localSheetId="15">#REF!</definedName>
    <definedName name="FILE7">#REF!</definedName>
    <definedName name="FILE8" localSheetId="15">#REF!</definedName>
    <definedName name="FILE8">#REF!</definedName>
    <definedName name="FILENAME" localSheetId="15">#REF!</definedName>
    <definedName name="FILENAME">#REF!</definedName>
    <definedName name="FILES" localSheetId="15">#REF!</definedName>
    <definedName name="FILES">#REF!</definedName>
    <definedName name="FILESET_UP" localSheetId="15">#REF!</definedName>
    <definedName name="FILESET_UP">#REF!</definedName>
    <definedName name="FIN" localSheetId="15">#REF!</definedName>
    <definedName name="FIN">#REF!</definedName>
    <definedName name="FORMAT" localSheetId="15">#REF!</definedName>
    <definedName name="FORMAT">#REF!</definedName>
    <definedName name="FRAME" localSheetId="15">#REF!</definedName>
    <definedName name="FRAME">#REF!</definedName>
    <definedName name="FREEZE" localSheetId="15">#REF!</definedName>
    <definedName name="FREEZE">#REF!</definedName>
    <definedName name="GHH">#REF!</definedName>
    <definedName name="GINC" localSheetId="15">#REF!</definedName>
    <definedName name="GINC">#REF!</definedName>
    <definedName name="GINCL" localSheetId="15">#REF!</definedName>
    <definedName name="GINCL">#REF!</definedName>
    <definedName name="GWH" localSheetId="15">#REF!</definedName>
    <definedName name="GWH">#REF!</definedName>
    <definedName name="HISTORY" localSheetId="15">#REF!</definedName>
    <definedName name="HISTORY">#REF!</definedName>
    <definedName name="HOJAT" localSheetId="15">#REF!</definedName>
    <definedName name="HOJAT">#REF!</definedName>
    <definedName name="i" localSheetId="15">#REF!</definedName>
    <definedName name="i">#REF!</definedName>
    <definedName name="IMPANO0" localSheetId="15">#REF!</definedName>
    <definedName name="IMPANO0">#REF!</definedName>
    <definedName name="INCOME_ST" localSheetId="15">#REF!</definedName>
    <definedName name="INCOME_ST">#REF!</definedName>
    <definedName name="INDSAVE" localSheetId="15">#REF!</definedName>
    <definedName name="INDSAVE">#REF!</definedName>
    <definedName name="INGLES" localSheetId="15">#REF!</definedName>
    <definedName name="INGLES">#REF!</definedName>
    <definedName name="INICIO" localSheetId="15">#REF!</definedName>
    <definedName name="INICIO">#REF!</definedName>
    <definedName name="INSTRUCCONSOL" localSheetId="15">#REF!</definedName>
    <definedName name="INSTRUCCONSOL">#REF!</definedName>
    <definedName name="INTRACORPa" hidden="1">'[2]2001-2008Contraloría Historico'!#REF!</definedName>
    <definedName name="ITER" localSheetId="15">#REF!</definedName>
    <definedName name="ITER">#REF!</definedName>
    <definedName name="J1_" localSheetId="12">#REF!</definedName>
    <definedName name="J1_">#REF!</definedName>
    <definedName name="J2_" localSheetId="12">#REF!</definedName>
    <definedName name="J2_">#REF!</definedName>
    <definedName name="J3_" localSheetId="12">#REF!</definedName>
    <definedName name="J3_">#REF!</definedName>
    <definedName name="J4_" localSheetId="12">#REF!</definedName>
    <definedName name="J4_">#REF!</definedName>
    <definedName name="J5_">#N/A</definedName>
    <definedName name="J6_">#N/A</definedName>
    <definedName name="J7_" localSheetId="14">#REF!</definedName>
    <definedName name="J7_" localSheetId="12">#REF!</definedName>
    <definedName name="J7_">#REF!</definedName>
    <definedName name="J8_" localSheetId="12">#REF!</definedName>
    <definedName name="J8_">#REF!</definedName>
    <definedName name="JI" localSheetId="12">#REF!</definedName>
    <definedName name="JI">#REF!</definedName>
    <definedName name="JKL" localSheetId="15">#REF!</definedName>
    <definedName name="JKL">#REF!</definedName>
    <definedName name="KKK">#REF!</definedName>
    <definedName name="LANGUAGE" localSheetId="15">#REF!</definedName>
    <definedName name="LANGUAGE">#REF!</definedName>
    <definedName name="LASER" localSheetId="15">#REF!</definedName>
    <definedName name="LASER">#REF!</definedName>
    <definedName name="LAST_YEAR" localSheetId="15">#REF!</definedName>
    <definedName name="LAST_YEAR">#REF!</definedName>
    <definedName name="LEARN" localSheetId="15">#REF!</definedName>
    <definedName name="LEARN">#REF!</definedName>
    <definedName name="LINE_" localSheetId="15">#REF!</definedName>
    <definedName name="LINE_">#REF!</definedName>
    <definedName name="LINES_ML" localSheetId="15">#REF!</definedName>
    <definedName name="LINES_ML">#REF!</definedName>
    <definedName name="LOGO" localSheetId="15">#REF!</definedName>
    <definedName name="LOGO">#REF!</definedName>
    <definedName name="M1_" localSheetId="12">#REF!</definedName>
    <definedName name="M1_">#REF!</definedName>
    <definedName name="M2_" localSheetId="12">#REF!</definedName>
    <definedName name="M2_">#REF!</definedName>
    <definedName name="M3_" localSheetId="12">#REF!</definedName>
    <definedName name="M3_">#REF!</definedName>
    <definedName name="M4_" localSheetId="12">#REF!</definedName>
    <definedName name="M4_">#REF!</definedName>
    <definedName name="M5_">#N/A</definedName>
    <definedName name="M6_">#N/A</definedName>
    <definedName name="M7_" localSheetId="14">#REF!</definedName>
    <definedName name="M7_" localSheetId="12">#REF!</definedName>
    <definedName name="M7_">#REF!</definedName>
    <definedName name="M8_" localSheetId="12">#REF!</definedName>
    <definedName name="M8_">#REF!</definedName>
    <definedName name="MAIN" localSheetId="15">#REF!</definedName>
    <definedName name="MAIN">#REF!</definedName>
    <definedName name="MENSAJ" localSheetId="15">#REF!</definedName>
    <definedName name="MENSAJ">#REF!</definedName>
    <definedName name="MENSAJ1" localSheetId="15">#REF!</definedName>
    <definedName name="MENSAJ1">#REF!</definedName>
    <definedName name="MENSAJE" localSheetId="15">#REF!</definedName>
    <definedName name="MENSAJE">#REF!</definedName>
    <definedName name="MENSAJE1" localSheetId="15">#REF!</definedName>
    <definedName name="MENSAJE1">#REF!</definedName>
    <definedName name="MESES" localSheetId="15">#REF!</definedName>
    <definedName name="MESES">#REF!</definedName>
    <definedName name="MESESL" localSheetId="15">#REF!</definedName>
    <definedName name="MESESL">#REF!</definedName>
    <definedName name="MIL" localSheetId="15">#REF!</definedName>
    <definedName name="MIL">#REF!</definedName>
    <definedName name="MILLON" localSheetId="15">#REF!</definedName>
    <definedName name="MILLON">#REF!</definedName>
    <definedName name="MODINFO" localSheetId="15">#REF!</definedName>
    <definedName name="MODINFO">#REF!</definedName>
    <definedName name="MODULES" localSheetId="15">#REF!</definedName>
    <definedName name="MODULES">#REF!</definedName>
    <definedName name="MSGCALC" localSheetId="15">#REF!</definedName>
    <definedName name="MSGCALC">#REF!</definedName>
    <definedName name="MSGDEBT" localSheetId="15">#REF!</definedName>
    <definedName name="MSGDEBT">#REF!</definedName>
    <definedName name="MSGFILES" localSheetId="15">#REF!</definedName>
    <definedName name="MSGFILES">#REF!</definedName>
    <definedName name="MSGINVEST" localSheetId="15">#REF!</definedName>
    <definedName name="MSGINVEST">#REF!</definedName>
    <definedName name="MSGNAMES" localSheetId="15">#REF!</definedName>
    <definedName name="MSGNAMES">#REF!</definedName>
    <definedName name="MSGPRINTG" localSheetId="15">#REF!</definedName>
    <definedName name="MSGPRINTG">#REF!</definedName>
    <definedName name="MSGTRANSFER" localSheetId="15">#REF!</definedName>
    <definedName name="MSGTRANSFER">#REF!</definedName>
    <definedName name="MWH" localSheetId="15">#REF!</definedName>
    <definedName name="MWH">#REF!</definedName>
    <definedName name="NAME" localSheetId="15">#REF!</definedName>
    <definedName name="NAME">#REF!</definedName>
    <definedName name="NAMES" localSheetId="15">#REF!</definedName>
    <definedName name="NAMES">#REF!</definedName>
    <definedName name="NOPRO" localSheetId="15">#REF!</definedName>
    <definedName name="NOPRO">#REF!</definedName>
    <definedName name="OA_CY" localSheetId="15">#REF!</definedName>
    <definedName name="OA_CY">#REF!</definedName>
    <definedName name="OAP" localSheetId="15">#REF!</definedName>
    <definedName name="OAP">#REF!</definedName>
    <definedName name="OAP_LAST" localSheetId="15">#REF!</definedName>
    <definedName name="OAP_LAST">#REF!</definedName>
    <definedName name="OAP0" localSheetId="15">#REF!</definedName>
    <definedName name="OAP0">#REF!</definedName>
    <definedName name="OAPACTUAL" localSheetId="15">#REF!</definedName>
    <definedName name="OAPACTUAL">#REF!</definedName>
    <definedName name="OAPC" localSheetId="15">#REF!</definedName>
    <definedName name="OAPC">#REF!</definedName>
    <definedName name="OAPDATA" localSheetId="15">#REF!</definedName>
    <definedName name="OAPDATA">#REF!</definedName>
    <definedName name="OAPTITLES" localSheetId="15">#REF!</definedName>
    <definedName name="OAPTITLES">#REF!</definedName>
    <definedName name="OAPUNO" localSheetId="15">#REF!</definedName>
    <definedName name="OAPUNO">#REF!</definedName>
    <definedName name="OATITLE" localSheetId="15">#REF!</definedName>
    <definedName name="OATITLE">#REF!</definedName>
    <definedName name="OAUNIT" localSheetId="15">#REF!</definedName>
    <definedName name="OAUNIT">#REF!</definedName>
    <definedName name="OPCFLAG" localSheetId="15">#REF!</definedName>
    <definedName name="OPCFLAG">#REF!</definedName>
    <definedName name="OPCION" localSheetId="15">#REF!</definedName>
    <definedName name="OPCION">#REF!</definedName>
    <definedName name="OPSELC" localSheetId="15">#REF!</definedName>
    <definedName name="OPSELC">#REF!</definedName>
    <definedName name="OUTPUT" localSheetId="15">#REF!</definedName>
    <definedName name="OUTPUT">#REF!</definedName>
    <definedName name="OUTPUTDE" localSheetId="15">#REF!</definedName>
    <definedName name="OUTPUTDE">#REF!</definedName>
    <definedName name="OUTPUTE" localSheetId="15">#REF!</definedName>
    <definedName name="OUTPUTE">#REF!</definedName>
    <definedName name="OUTPUTE_HEADER" localSheetId="15">#REF!</definedName>
    <definedName name="OUTPUTE_HEADER">#REF!</definedName>
    <definedName name="OUTPUTEBODY" localSheetId="15">#REF!</definedName>
    <definedName name="OUTPUTEBODY">#REF!</definedName>
    <definedName name="OUTPUTECOL" localSheetId="15">#REF!</definedName>
    <definedName name="OUTPUTECOL">#REF!</definedName>
    <definedName name="OUTPUTEHEAD" localSheetId="15">#REF!</definedName>
    <definedName name="OUTPUTEHEAD">#REF!</definedName>
    <definedName name="OUTPUTNOS" localSheetId="15">#REF!</definedName>
    <definedName name="OUTPUTNOS">#REF!</definedName>
    <definedName name="OUTPUTPR" localSheetId="15">#REF!</definedName>
    <definedName name="OUTPUTPR">#REF!</definedName>
    <definedName name="OUTPUTWS" localSheetId="15">#REF!</definedName>
    <definedName name="OUTPUTWS">#REF!</definedName>
    <definedName name="PANTALLA" localSheetId="15">#REF!</definedName>
    <definedName name="PANTALLA">#REF!</definedName>
    <definedName name="PAPEL" localSheetId="15">#REF!</definedName>
    <definedName name="PAPEL">#REF!</definedName>
    <definedName name="PFLAG" localSheetId="15">#REF!</definedName>
    <definedName name="PFLAG">#REF!</definedName>
    <definedName name="PGIC" localSheetId="15">#REF!</definedName>
    <definedName name="PGIC">#REF!</definedName>
    <definedName name="PIBnuevo15" hidden="1">'[4]2001-2012 Contraloría Historico'!#REF!</definedName>
    <definedName name="PREST" localSheetId="15">#REF!</definedName>
    <definedName name="PREST">#REF!</definedName>
    <definedName name="PRESTAMO" localSheetId="15">#REF!</definedName>
    <definedName name="PRESTAMO">#REF!</definedName>
    <definedName name="PRESTTOT" localSheetId="15">#REF!</definedName>
    <definedName name="PRESTTOT">#REF!</definedName>
    <definedName name="PRINTER" localSheetId="15">#REF!</definedName>
    <definedName name="PRINTER">#REF!</definedName>
    <definedName name="PRO" localSheetId="12">#REF!</definedName>
    <definedName name="PRO">#REF!</definedName>
    <definedName name="PRODUC2" localSheetId="15">#REF!</definedName>
    <definedName name="PRODUC2">#REF!</definedName>
    <definedName name="PRODUC3" localSheetId="15">#REF!</definedName>
    <definedName name="PRODUC3">#REF!</definedName>
    <definedName name="PRODUC4" localSheetId="15">#REF!</definedName>
    <definedName name="PRODUC4">#REF!</definedName>
    <definedName name="PTOEF" localSheetId="15">#REF!</definedName>
    <definedName name="PTOEF">#REF!</definedName>
    <definedName name="PTOER" localSheetId="15">#REF!</definedName>
    <definedName name="PTOER">#REF!</definedName>
    <definedName name="RANGES" localSheetId="15">#REF!</definedName>
    <definedName name="RANGES">#REF!</definedName>
    <definedName name="RATIOS" localSheetId="15">#REF!</definedName>
    <definedName name="RATIOS">#REF!</definedName>
    <definedName name="RCC" localSheetId="15">#REF!</definedName>
    <definedName name="RCC">#REF!</definedName>
    <definedName name="RCCOBR" localSheetId="15">#REF!</definedName>
    <definedName name="RCCOBR">#REF!</definedName>
    <definedName name="rd" localSheetId="15">#REF!</definedName>
    <definedName name="rd">#REF!</definedName>
    <definedName name="rdn" localSheetId="13">[7]Hidrometeorología!$D$14</definedName>
    <definedName name="rdn" localSheetId="15">[8]Hidrometeorología!$D$14</definedName>
    <definedName name="rdn">[9]Hidrometeorología!$D$14</definedName>
    <definedName name="rdx" localSheetId="13">[7]Hidrometeorología!$D$14</definedName>
    <definedName name="rdx" localSheetId="15">[8]Hidrometeorología!$D$14</definedName>
    <definedName name="rdx">[9]Hidrometeorología!$D$14</definedName>
    <definedName name="re" localSheetId="14">#REF!</definedName>
    <definedName name="re" localSheetId="13">#REF!</definedName>
    <definedName name="re" localSheetId="15">#REF!</definedName>
    <definedName name="re">#REF!</definedName>
    <definedName name="real">#REF!</definedName>
    <definedName name="RENTA" localSheetId="13">#REF!</definedName>
    <definedName name="RENTA" localSheetId="15">#REF!</definedName>
    <definedName name="RENTA">#REF!</definedName>
    <definedName name="RENTAL" localSheetId="13">#REF!</definedName>
    <definedName name="RENTAL" localSheetId="15">#REF!</definedName>
    <definedName name="RENTAL">#REF!</definedName>
    <definedName name="REPO" localSheetId="15">#REF!</definedName>
    <definedName name="REPO">#REF!</definedName>
    <definedName name="REPOCALC" localSheetId="15">#REF!</definedName>
    <definedName name="REPOCALC">#REF!</definedName>
    <definedName name="REPOPRO" localSheetId="15">#REF!</definedName>
    <definedName name="REPOPRO">#REF!</definedName>
    <definedName name="REPSUB" localSheetId="15">#REF!</definedName>
    <definedName name="REPSUB">#REF!</definedName>
    <definedName name="REPSUBWYS" localSheetId="15">#REF!</definedName>
    <definedName name="REPSUBWYS">#REF!</definedName>
    <definedName name="RESUMEN" localSheetId="15">#REF!</definedName>
    <definedName name="RESUMEN">#REF!</definedName>
    <definedName name="rf" localSheetId="15">#REF!</definedName>
    <definedName name="rf">#REF!</definedName>
    <definedName name="RF_CY" localSheetId="15">#REF!</definedName>
    <definedName name="RF_CY">#REF!</definedName>
    <definedName name="RFP" localSheetId="15">#REF!</definedName>
    <definedName name="RFP">#REF!</definedName>
    <definedName name="RFPACTUAL" localSheetId="15">#REF!</definedName>
    <definedName name="RFPACTUAL">#REF!</definedName>
    <definedName name="RFPC" localSheetId="15">#REF!</definedName>
    <definedName name="RFPC">#REF!</definedName>
    <definedName name="RFPDATA" localSheetId="15">#REF!</definedName>
    <definedName name="RFPDATA">#REF!</definedName>
    <definedName name="RFPTITLES" localSheetId="15">#REF!</definedName>
    <definedName name="RFPTITLES">#REF!</definedName>
    <definedName name="RFTITLE" localSheetId="15">#REF!</definedName>
    <definedName name="RFTITLE">#REF!</definedName>
    <definedName name="RFUNIT" localSheetId="15">#REF!</definedName>
    <definedName name="RFUNIT">#REF!</definedName>
    <definedName name="rm_rf" localSheetId="15">#REF!</definedName>
    <definedName name="rm_rf">#REF!</definedName>
    <definedName name="rp" localSheetId="15">#REF!</definedName>
    <definedName name="rp">#REF!</definedName>
    <definedName name="RPTSFOOTER" localSheetId="15">#REF!</definedName>
    <definedName name="RPTSFOOTER">#REF!</definedName>
    <definedName name="RPTSHEADER" localSheetId="15">#REF!</definedName>
    <definedName name="RPTSHEADER">#REF!</definedName>
    <definedName name="rrd" localSheetId="13">[10]RRT!$D$14</definedName>
    <definedName name="rrd" localSheetId="15">[11]RRT!$D$14</definedName>
    <definedName name="rrd">[12]RRT!$D$14</definedName>
    <definedName name="RRT" localSheetId="14">#REF!</definedName>
    <definedName name="RRT" localSheetId="13">#REF!</definedName>
    <definedName name="RRT" localSheetId="15">#REF!</definedName>
    <definedName name="RRT" localSheetId="5">'IMP Existente'!$D$11</definedName>
    <definedName name="RRT">#REF!</definedName>
    <definedName name="RRTg">[13]IPCT!$C$14</definedName>
    <definedName name="S1_" localSheetId="14">#REF!</definedName>
    <definedName name="S1_" localSheetId="12">#REF!</definedName>
    <definedName name="S1_">#REF!</definedName>
    <definedName name="S2_" localSheetId="12">#REF!</definedName>
    <definedName name="S2_">#REF!</definedName>
    <definedName name="S3_" localSheetId="12">#REF!</definedName>
    <definedName name="S3_">#REF!</definedName>
    <definedName name="S4_" localSheetId="12">#REF!</definedName>
    <definedName name="S4_">#REF!</definedName>
    <definedName name="S5_">#N/A</definedName>
    <definedName name="S6_">#N/A</definedName>
    <definedName name="S7_" localSheetId="14">#REF!</definedName>
    <definedName name="S7_" localSheetId="12">#REF!</definedName>
    <definedName name="S7_">#REF!</definedName>
    <definedName name="S8_" localSheetId="12">#REF!</definedName>
    <definedName name="S8_">#REF!</definedName>
    <definedName name="SCREEN" localSheetId="13">#REF!</definedName>
    <definedName name="SCREEN" localSheetId="15">#REF!</definedName>
    <definedName name="SCREEN">#REF!</definedName>
    <definedName name="Sd" localSheetId="13">#REF!</definedName>
    <definedName name="Sd" localSheetId="15">#REF!</definedName>
    <definedName name="Sd">#REF!</definedName>
    <definedName name="SE0" localSheetId="13">#REF!</definedName>
    <definedName name="SE0" localSheetId="15">#REF!</definedName>
    <definedName name="SE0">#REF!</definedName>
    <definedName name="SENOP" localSheetId="15">#REF!</definedName>
    <definedName name="SENOP">#REF!</definedName>
    <definedName name="SENPRI" localSheetId="15">#REF!</definedName>
    <definedName name="SENPRI">#REF!</definedName>
    <definedName name="SENSITIVITY" localSheetId="15">#REF!</definedName>
    <definedName name="SENSITIVITY">#REF!</definedName>
    <definedName name="SENSTA" localSheetId="15">#REF!</definedName>
    <definedName name="SENSTA">#REF!</definedName>
    <definedName name="SENT" localSheetId="15">#REF!</definedName>
    <definedName name="SENT">#REF!</definedName>
    <definedName name="SENUNI" localSheetId="15">#REF!</definedName>
    <definedName name="SENUNI">#REF!</definedName>
    <definedName name="SER" localSheetId="15">#REF!</definedName>
    <definedName name="SER">#REF!</definedName>
    <definedName name="SOURCE_APPL" localSheetId="15">#REF!</definedName>
    <definedName name="SOURCE_APPL">#REF!</definedName>
    <definedName name="ss">#REF!</definedName>
    <definedName name="STAMP" localSheetId="15">#REF!</definedName>
    <definedName name="STAMP">#REF!</definedName>
    <definedName name="START" localSheetId="15">#REF!</definedName>
    <definedName name="START">#REF!</definedName>
    <definedName name="SUMARIA" localSheetId="15">#REF!</definedName>
    <definedName name="SUMARIA">#REF!</definedName>
    <definedName name="SUPUESTOS" localSheetId="15">#REF!</definedName>
    <definedName name="SUPUESTOS">#REF!</definedName>
    <definedName name="t" localSheetId="15">#REF!</definedName>
    <definedName name="t">#REF!</definedName>
    <definedName name="TASA" localSheetId="15">#REF!</definedName>
    <definedName name="TASA">#REF!</definedName>
    <definedName name="TASAI" localSheetId="15">#REF!</definedName>
    <definedName name="TASAI">#REF!</definedName>
    <definedName name="TASATOT" localSheetId="15">#REF!</definedName>
    <definedName name="TASATOT">#REF!</definedName>
    <definedName name="TEXTO" localSheetId="12">#REF!</definedName>
    <definedName name="TEXTO">#REF!</definedName>
    <definedName name="TIPO" localSheetId="15">#REF!</definedName>
    <definedName name="TIPO">#REF!</definedName>
    <definedName name="TITLE" localSheetId="15">#REF!</definedName>
    <definedName name="TITLE">#REF!</definedName>
    <definedName name="TITLEENG" localSheetId="15">#REF!</definedName>
    <definedName name="TITLEENG">#REF!</definedName>
    <definedName name="TITLES" localSheetId="15">#REF!</definedName>
    <definedName name="TITLES">#REF!</definedName>
    <definedName name="TITLESPAN" localSheetId="15">#REF!</definedName>
    <definedName name="TITLESPAN">#REF!</definedName>
    <definedName name="TODO" localSheetId="12">#REF!</definedName>
    <definedName name="TODO">#REF!</definedName>
    <definedName name="TRAF" localSheetId="15">#REF!</definedName>
    <definedName name="TRAF">#REF!</definedName>
    <definedName name="tret" hidden="1">'[2]2001-2008Contraloría Historico'!#REF!</definedName>
    <definedName name="TSFR1" localSheetId="15">#REF!</definedName>
    <definedName name="TSFR1">#REF!</definedName>
    <definedName name="TSFR2" localSheetId="15">#REF!</definedName>
    <definedName name="TSFR2">#REF!</definedName>
    <definedName name="TSFR3" localSheetId="15">#REF!</definedName>
    <definedName name="TSFR3">#REF!</definedName>
    <definedName name="UNDERLINE" localSheetId="15">#REF!</definedName>
    <definedName name="UNDERLINE">#REF!</definedName>
    <definedName name="UNFREEZE" localSheetId="15">#REF!</definedName>
    <definedName name="UNFREEZE">#REF!</definedName>
    <definedName name="UNITS" localSheetId="15">#REF!</definedName>
    <definedName name="UNITS">#REF!</definedName>
    <definedName name="VNR_Lineas" localSheetId="14">'[5]VNR Lin '!$I$64</definedName>
    <definedName name="VNR_Lineas" localSheetId="5">'[14]VNR Lin '!$I$64</definedName>
    <definedName name="VNR_Lineas">'[5]VNR Lin '!$I$64</definedName>
    <definedName name="VNR_Lineas_Conexión" localSheetId="14">'[5]VNR Lin '!$I$74</definedName>
    <definedName name="VNR_Lineas_Conexión" localSheetId="5">'[14]VNR Lin '!$I$74</definedName>
    <definedName name="VNR_Lineas_Conexión">'[5]VNR Lin '!$I$74</definedName>
    <definedName name="VNR_Subestaciones_Conexión" localSheetId="14">'[5] VNR Sub'!$H$45</definedName>
    <definedName name="VNR_Subestaciones_Conexión" localSheetId="5">'[14] VNR Sub'!$H$45</definedName>
    <definedName name="VNR_Subestaciones_Conexión">'[5] VNR Sub'!$H$45</definedName>
    <definedName name="VNR_Subestaciones_Estrategicas" localSheetId="14">'[5] VNR Sub'!$G$33</definedName>
    <definedName name="VNR_Subestaciones_Estrategicas" localSheetId="5">'[14] VNR Sub'!$G$33</definedName>
    <definedName name="VNR_Subestaciones_Estrategicas">'[5] VNR Sub'!$G$33</definedName>
    <definedName name="VNR_Subestaciones_SPT" localSheetId="14">'[5] VNR Sub'!$G$24</definedName>
    <definedName name="VNR_Subestaciones_SPT" localSheetId="5">'[14] VNR Sub'!$G$24</definedName>
    <definedName name="VNR_Subestaciones_SPT">'[5] VNR Sub'!$G$24</definedName>
    <definedName name="vvvv" localSheetId="3">[15]IMP!$D$14</definedName>
    <definedName name="vvvv" localSheetId="2">[15]IMP!$D$14</definedName>
    <definedName name="vvvv" localSheetId="1">[15]IMP!$D$14</definedName>
    <definedName name="vvvv" localSheetId="0">[15]IMP!$D$14</definedName>
    <definedName name="vvvv">[16]IMP!$D$14</definedName>
    <definedName name="WACCna" localSheetId="14">#REF!</definedName>
    <definedName name="WACCna" localSheetId="13">#REF!</definedName>
    <definedName name="WACCna" localSheetId="15">#REF!</definedName>
    <definedName name="WACCna">#REF!</definedName>
    <definedName name="WACCnd" localSheetId="13">#REF!</definedName>
    <definedName name="WACCnd" localSheetId="15">#REF!</definedName>
    <definedName name="WACCnd">#REF!</definedName>
    <definedName name="WACCr" localSheetId="13">#REF!</definedName>
    <definedName name="WACCr" localSheetId="15">#REF!</definedName>
    <definedName name="WACCr">#REF!</definedName>
    <definedName name="WACCra" localSheetId="15">#REF!</definedName>
    <definedName name="WACCra">#REF!</definedName>
    <definedName name="WH" localSheetId="15">#REF!</definedName>
    <definedName name="WH">#REF!</definedName>
    <definedName name="WHC" localSheetId="15">#REF!</definedName>
    <definedName name="WHC">#REF!</definedName>
    <definedName name="WHCO" localSheetId="15">#REF!</definedName>
    <definedName name="WHCO">#REF!</definedName>
    <definedName name="WHCR" localSheetId="15">#REF!</definedName>
    <definedName name="WHCR">#REF!</definedName>
    <definedName name="WHCS" localSheetId="15">#REF!</definedName>
    <definedName name="WHCS">#REF!</definedName>
    <definedName name="WHG" localSheetId="15">#REF!</definedName>
    <definedName name="WHG">#REF!</definedName>
    <definedName name="WHH" localSheetId="15">#REF!</definedName>
    <definedName name="WHH">#REF!</definedName>
    <definedName name="WORKSHEET" localSheetId="15">#REF!</definedName>
    <definedName name="WORKSHEET">#REF!</definedName>
    <definedName name="WP" localSheetId="15">#REF!</definedName>
    <definedName name="WP">#REF!</definedName>
    <definedName name="WPC" localSheetId="15">#REF!</definedName>
    <definedName name="WPC">#REF!</definedName>
    <definedName name="WPG" localSheetId="15">#REF!</definedName>
    <definedName name="WPG">#REF!</definedName>
    <definedName name="WPH" localSheetId="15">#REF!</definedName>
    <definedName name="WPH">#REF!</definedName>
    <definedName name="WSANO0PR" localSheetId="15">#REF!</definedName>
    <definedName name="WSANO0PR">#REF!</definedName>
    <definedName name="WSANO0S" localSheetId="15">#REF!</definedName>
    <definedName name="WSANO0S">#REF!</definedName>
    <definedName name="WSGRID" localSheetId="15">#REF!</definedName>
    <definedName name="WSGRID">#REF!</definedName>
    <definedName name="WSGRID0" localSheetId="15">#REF!</definedName>
    <definedName name="WSGRID0">#REF!</definedName>
    <definedName name="WSGRID10" localSheetId="15">#REF!</definedName>
    <definedName name="WSGRID10">#REF!</definedName>
    <definedName name="WSPRINT" localSheetId="15">#REF!</definedName>
    <definedName name="WSPRINT">#REF!</definedName>
    <definedName name="XX">[17]IMP!$D$10</definedName>
    <definedName name="xxx">[7]Hidrometeorología!$D$14</definedName>
    <definedName name="XXXX">[7]Hidrometeorología!$D$14</definedName>
    <definedName name="xxxxxx" hidden="1">#REF!</definedName>
    <definedName name="xxxxxxxxxxxxxxxxxxxx" hidden="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5" i="59" l="1"/>
  <c r="R55" i="59"/>
  <c r="I47" i="59" s="1"/>
  <c r="Q41" i="59"/>
  <c r="O36" i="60"/>
  <c r="T96" i="59"/>
  <c r="E14" i="14"/>
  <c r="F14" i="14"/>
  <c r="G14" i="14"/>
  <c r="D14" i="14"/>
  <c r="D16" i="14"/>
  <c r="H31" i="60"/>
  <c r="G31" i="60"/>
  <c r="F31" i="60"/>
  <c r="E31" i="60"/>
  <c r="M36" i="60"/>
  <c r="K91" i="59"/>
  <c r="J91" i="59"/>
  <c r="I91" i="59"/>
  <c r="R96" i="59"/>
  <c r="H91" i="59" s="1"/>
  <c r="H47" i="59" l="1"/>
  <c r="J47" i="59"/>
  <c r="K47" i="59"/>
  <c r="H23" i="60"/>
  <c r="G23" i="60"/>
  <c r="M24" i="38" l="1"/>
  <c r="M18" i="38"/>
  <c r="M12" i="38"/>
  <c r="M6" i="38"/>
  <c r="L24" i="38"/>
  <c r="L18" i="38"/>
  <c r="L12" i="38"/>
  <c r="L6" i="38"/>
  <c r="K24" i="38"/>
  <c r="K18" i="38"/>
  <c r="K12" i="38"/>
  <c r="K6" i="38"/>
  <c r="J24" i="38"/>
  <c r="J18" i="38"/>
  <c r="J12" i="38"/>
  <c r="J6" i="38"/>
  <c r="I24" i="38"/>
  <c r="I18" i="38"/>
  <c r="I12" i="38"/>
  <c r="I6" i="38"/>
  <c r="H24" i="38"/>
  <c r="G24" i="38"/>
  <c r="G18" i="38"/>
  <c r="G12" i="38"/>
  <c r="G6" i="38"/>
  <c r="F24" i="38"/>
  <c r="F18" i="38"/>
  <c r="F12" i="38"/>
  <c r="F6" i="38"/>
  <c r="E24" i="38"/>
  <c r="E18" i="38"/>
  <c r="E12" i="38"/>
  <c r="E6" i="38"/>
  <c r="D24" i="38"/>
  <c r="D18" i="38"/>
  <c r="D12" i="38"/>
  <c r="D6" i="38"/>
  <c r="M23" i="38"/>
  <c r="L5" i="38"/>
  <c r="K23" i="38"/>
  <c r="J5" i="38"/>
  <c r="I11" i="38"/>
  <c r="F5" i="38"/>
  <c r="E23" i="38"/>
  <c r="D5" i="38"/>
  <c r="H71" i="60"/>
  <c r="G71" i="60"/>
  <c r="F71" i="60"/>
  <c r="E71" i="60"/>
  <c r="H63" i="60"/>
  <c r="G63" i="60"/>
  <c r="F63" i="60"/>
  <c r="E63" i="60"/>
  <c r="H59" i="60"/>
  <c r="G59" i="60"/>
  <c r="F59" i="60"/>
  <c r="E59" i="60"/>
  <c r="H40" i="60"/>
  <c r="G40" i="60"/>
  <c r="F40" i="60"/>
  <c r="E40" i="60"/>
  <c r="H33" i="60"/>
  <c r="G33" i="60"/>
  <c r="F33" i="60"/>
  <c r="E33" i="60"/>
  <c r="H18" i="38"/>
  <c r="F23" i="60"/>
  <c r="H12" i="38" s="1"/>
  <c r="E23" i="60"/>
  <c r="H6" i="38" s="1"/>
  <c r="H16" i="60"/>
  <c r="G16" i="60"/>
  <c r="F16" i="60"/>
  <c r="E16" i="60"/>
  <c r="H12" i="60"/>
  <c r="G12" i="60"/>
  <c r="G76" i="60" s="1"/>
  <c r="F12" i="60"/>
  <c r="E12" i="60"/>
  <c r="H10" i="60"/>
  <c r="H76" i="60" s="1"/>
  <c r="G10" i="60"/>
  <c r="F10" i="60"/>
  <c r="E10" i="60"/>
  <c r="H5" i="60"/>
  <c r="G5" i="60"/>
  <c r="F5" i="60"/>
  <c r="E5" i="60"/>
  <c r="K162" i="59"/>
  <c r="J162" i="59"/>
  <c r="I162" i="59"/>
  <c r="H162" i="59"/>
  <c r="K160" i="59"/>
  <c r="J160" i="59"/>
  <c r="I160" i="59"/>
  <c r="I161" i="59" s="1"/>
  <c r="I163" i="59" s="1"/>
  <c r="H160" i="59"/>
  <c r="K159" i="59"/>
  <c r="J159" i="59"/>
  <c r="I159" i="59"/>
  <c r="H159" i="59"/>
  <c r="K155" i="59"/>
  <c r="J155" i="59"/>
  <c r="M17" i="38" s="1"/>
  <c r="I155" i="59"/>
  <c r="M11" i="38" s="1"/>
  <c r="H155" i="59"/>
  <c r="M5" i="38" s="1"/>
  <c r="K146" i="59"/>
  <c r="L23" i="38" s="1"/>
  <c r="J146" i="59"/>
  <c r="L17" i="38" s="1"/>
  <c r="I146" i="59"/>
  <c r="L11" i="38" s="1"/>
  <c r="H146" i="59"/>
  <c r="K143" i="59"/>
  <c r="J143" i="59"/>
  <c r="K17" i="38" s="1"/>
  <c r="I143" i="59"/>
  <c r="K11" i="38" s="1"/>
  <c r="H143" i="59"/>
  <c r="K5" i="38" s="1"/>
  <c r="K136" i="59"/>
  <c r="J23" i="38" s="1"/>
  <c r="J136" i="59"/>
  <c r="J17" i="38" s="1"/>
  <c r="I136" i="59"/>
  <c r="J11" i="38" s="1"/>
  <c r="H136" i="59"/>
  <c r="K129" i="59"/>
  <c r="I23" i="38" s="1"/>
  <c r="J129" i="59"/>
  <c r="I17" i="38" s="1"/>
  <c r="I129" i="59"/>
  <c r="H129" i="59"/>
  <c r="I5" i="38" s="1"/>
  <c r="K82" i="59"/>
  <c r="H23" i="38" s="1"/>
  <c r="J82" i="59"/>
  <c r="H17" i="38" s="1"/>
  <c r="I82" i="59"/>
  <c r="H11" i="38" s="1"/>
  <c r="H82" i="59"/>
  <c r="H5" i="38" s="1"/>
  <c r="K42" i="59"/>
  <c r="G23" i="38" s="1"/>
  <c r="J42" i="59"/>
  <c r="G17" i="38" s="1"/>
  <c r="I42" i="59"/>
  <c r="G11" i="38" s="1"/>
  <c r="H42" i="59"/>
  <c r="G5" i="38" s="1"/>
  <c r="K34" i="59"/>
  <c r="F23" i="38" s="1"/>
  <c r="J34" i="59"/>
  <c r="F17" i="38" s="1"/>
  <c r="I34" i="59"/>
  <c r="F11" i="38" s="1"/>
  <c r="H34" i="59"/>
  <c r="K26" i="59"/>
  <c r="J26" i="59"/>
  <c r="E17" i="38" s="1"/>
  <c r="I26" i="59"/>
  <c r="E11" i="38" s="1"/>
  <c r="H26" i="59"/>
  <c r="E5" i="38" s="1"/>
  <c r="K6" i="59"/>
  <c r="D23" i="38" s="1"/>
  <c r="J6" i="59"/>
  <c r="D17" i="38" s="1"/>
  <c r="I6" i="59"/>
  <c r="D11" i="38" s="1"/>
  <c r="H6" i="59"/>
  <c r="H161" i="59" l="1"/>
  <c r="H163" i="59" s="1"/>
  <c r="J161" i="59"/>
  <c r="J163" i="59" s="1"/>
  <c r="K161" i="59"/>
  <c r="K163" i="59" s="1"/>
  <c r="F76" i="60"/>
  <c r="E76" i="60"/>
  <c r="E102" i="58"/>
  <c r="H80" i="58"/>
  <c r="G80" i="58"/>
  <c r="F80" i="58"/>
  <c r="E80" i="58"/>
  <c r="H77" i="58"/>
  <c r="G77" i="58"/>
  <c r="F77" i="58"/>
  <c r="E77" i="58"/>
  <c r="I61" i="58"/>
  <c r="I62" i="58" s="1"/>
  <c r="H61" i="58"/>
  <c r="H62" i="58" s="1"/>
  <c r="G61" i="58"/>
  <c r="G62" i="58" s="1"/>
  <c r="F61" i="58"/>
  <c r="F62" i="58" s="1"/>
  <c r="E61" i="58"/>
  <c r="E62" i="58" s="1"/>
  <c r="F60" i="58"/>
  <c r="E60" i="58"/>
  <c r="G57" i="58"/>
  <c r="F57" i="58"/>
  <c r="E57" i="58"/>
  <c r="E52" i="58"/>
  <c r="I48" i="58"/>
  <c r="H48" i="58"/>
  <c r="G48" i="58"/>
  <c r="F48" i="58"/>
  <c r="E48" i="58"/>
  <c r="E43" i="58"/>
  <c r="E35" i="58"/>
  <c r="I30" i="58"/>
  <c r="H30" i="58"/>
  <c r="G30" i="58"/>
  <c r="F30" i="58"/>
  <c r="E30" i="58"/>
  <c r="D30" i="58"/>
  <c r="I29" i="58"/>
  <c r="H29" i="58"/>
  <c r="G29" i="58"/>
  <c r="F29" i="58"/>
  <c r="E29" i="58"/>
  <c r="D29" i="58"/>
  <c r="I28" i="58"/>
  <c r="H28" i="58"/>
  <c r="G28" i="58"/>
  <c r="F28" i="58"/>
  <c r="E28" i="58"/>
  <c r="D28" i="58"/>
  <c r="E27" i="58"/>
  <c r="D27" i="58"/>
  <c r="I23" i="58"/>
  <c r="H23" i="58"/>
  <c r="G23" i="58"/>
  <c r="F23" i="58"/>
  <c r="E23" i="58"/>
  <c r="D23" i="58"/>
  <c r="I19" i="58"/>
  <c r="H19" i="58"/>
  <c r="G19" i="58"/>
  <c r="F19" i="58"/>
  <c r="E19" i="58"/>
  <c r="D19" i="58"/>
  <c r="F15" i="58"/>
  <c r="E15" i="58"/>
  <c r="D15" i="58"/>
  <c r="I14" i="58"/>
  <c r="G55" i="58" s="1"/>
  <c r="D11" i="58"/>
  <c r="D10" i="58"/>
  <c r="E8" i="58"/>
  <c r="I8" i="58" s="1"/>
  <c r="E7" i="58"/>
  <c r="I7" i="58" s="1"/>
  <c r="F6" i="58"/>
  <c r="F52" i="58" s="1"/>
  <c r="S173" i="57"/>
  <c r="R173" i="57"/>
  <c r="S172" i="57"/>
  <c r="R172" i="57"/>
  <c r="S171" i="57"/>
  <c r="R171" i="57"/>
  <c r="P171" i="57"/>
  <c r="O171" i="57"/>
  <c r="N171" i="57"/>
  <c r="M171" i="57"/>
  <c r="L171" i="57"/>
  <c r="K171" i="57"/>
  <c r="J171" i="57"/>
  <c r="I171" i="57"/>
  <c r="D171" i="57"/>
  <c r="S170" i="57"/>
  <c r="R170" i="57"/>
  <c r="S169" i="57"/>
  <c r="R169" i="57"/>
  <c r="S168" i="57"/>
  <c r="R168" i="57"/>
  <c r="S167" i="57"/>
  <c r="R167" i="57"/>
  <c r="S166" i="57"/>
  <c r="R166" i="57"/>
  <c r="S165" i="57"/>
  <c r="R165" i="57"/>
  <c r="S164" i="57"/>
  <c r="R164" i="57"/>
  <c r="S163" i="57"/>
  <c r="R163" i="57"/>
  <c r="S162" i="57"/>
  <c r="R162" i="57"/>
  <c r="P162" i="57"/>
  <c r="O162" i="57"/>
  <c r="N162" i="57"/>
  <c r="M162" i="57"/>
  <c r="L162" i="57"/>
  <c r="K162" i="57"/>
  <c r="J162" i="57"/>
  <c r="I162" i="57"/>
  <c r="H162" i="57"/>
  <c r="G162" i="57"/>
  <c r="F162" i="57"/>
  <c r="E162" i="57"/>
  <c r="D162" i="57"/>
  <c r="S161" i="57"/>
  <c r="R161" i="57"/>
  <c r="S160" i="57"/>
  <c r="R160" i="57"/>
  <c r="S159" i="57"/>
  <c r="R159" i="57"/>
  <c r="P159" i="57"/>
  <c r="O159" i="57"/>
  <c r="N159" i="57"/>
  <c r="M159" i="57"/>
  <c r="L159" i="57"/>
  <c r="K159" i="57"/>
  <c r="J159" i="57"/>
  <c r="I159" i="57"/>
  <c r="D159" i="57"/>
  <c r="S158" i="57"/>
  <c r="R158" i="57"/>
  <c r="S157" i="57"/>
  <c r="R157" i="57"/>
  <c r="S156" i="57"/>
  <c r="R156" i="57"/>
  <c r="S155" i="57"/>
  <c r="R155" i="57"/>
  <c r="S154" i="57"/>
  <c r="R154" i="57"/>
  <c r="S153" i="57"/>
  <c r="R153" i="57"/>
  <c r="S152" i="57"/>
  <c r="R152" i="57"/>
  <c r="P152" i="57"/>
  <c r="O152" i="57"/>
  <c r="N152" i="57"/>
  <c r="M152" i="57"/>
  <c r="L152" i="57"/>
  <c r="K152" i="57"/>
  <c r="J152" i="57"/>
  <c r="I152" i="57"/>
  <c r="H152" i="57"/>
  <c r="G152" i="57"/>
  <c r="F152" i="57"/>
  <c r="E152" i="57"/>
  <c r="D152" i="57"/>
  <c r="S151" i="57"/>
  <c r="R151" i="57"/>
  <c r="S150" i="57"/>
  <c r="R150" i="57"/>
  <c r="S149" i="57"/>
  <c r="R149" i="57"/>
  <c r="S148" i="57"/>
  <c r="R148" i="57"/>
  <c r="S147" i="57"/>
  <c r="R147" i="57"/>
  <c r="S146" i="57"/>
  <c r="R146" i="57"/>
  <c r="P145" i="57"/>
  <c r="O145" i="57"/>
  <c r="N145" i="57"/>
  <c r="M145" i="57"/>
  <c r="L145" i="57"/>
  <c r="K145" i="57"/>
  <c r="J145" i="57"/>
  <c r="I145" i="57"/>
  <c r="H145" i="57"/>
  <c r="G145" i="57"/>
  <c r="F145" i="57"/>
  <c r="E145" i="57"/>
  <c r="D145" i="57"/>
  <c r="S143" i="57"/>
  <c r="R143" i="57"/>
  <c r="S142" i="57"/>
  <c r="R142" i="57"/>
  <c r="S141" i="57"/>
  <c r="R141" i="57"/>
  <c r="S140" i="57"/>
  <c r="R140" i="57"/>
  <c r="S139" i="57"/>
  <c r="R139" i="57"/>
  <c r="S138" i="57"/>
  <c r="R138" i="57"/>
  <c r="S137" i="57"/>
  <c r="R137" i="57"/>
  <c r="S136" i="57"/>
  <c r="R136" i="57"/>
  <c r="S135" i="57"/>
  <c r="R135" i="57"/>
  <c r="S134" i="57"/>
  <c r="R134" i="57"/>
  <c r="S133" i="57"/>
  <c r="R133" i="57"/>
  <c r="S132" i="57"/>
  <c r="R132" i="57"/>
  <c r="S131" i="57"/>
  <c r="R131" i="57"/>
  <c r="S130" i="57"/>
  <c r="R130" i="57"/>
  <c r="S129" i="57"/>
  <c r="R129" i="57"/>
  <c r="S128" i="57"/>
  <c r="R128" i="57"/>
  <c r="AJ127" i="57"/>
  <c r="S127" i="57"/>
  <c r="R127" i="57"/>
  <c r="AJ126" i="57"/>
  <c r="S126" i="57"/>
  <c r="R126" i="57"/>
  <c r="AJ125" i="57"/>
  <c r="S125" i="57"/>
  <c r="R125" i="57"/>
  <c r="S124" i="57"/>
  <c r="R124" i="57"/>
  <c r="AJ123" i="57"/>
  <c r="S123" i="57"/>
  <c r="R123" i="57"/>
  <c r="AJ122" i="57"/>
  <c r="S122" i="57"/>
  <c r="R122" i="57"/>
  <c r="AJ121" i="57"/>
  <c r="S121" i="57"/>
  <c r="R121" i="57"/>
  <c r="D121" i="57"/>
  <c r="D96" i="57" s="1"/>
  <c r="AJ120" i="57"/>
  <c r="S120" i="57"/>
  <c r="R120" i="57"/>
  <c r="AJ119" i="57"/>
  <c r="S119" i="57"/>
  <c r="R119" i="57"/>
  <c r="AJ118" i="57"/>
  <c r="S118" i="57"/>
  <c r="R118" i="57"/>
  <c r="AJ117" i="57"/>
  <c r="S117" i="57"/>
  <c r="R117" i="57"/>
  <c r="AJ116" i="57"/>
  <c r="S116" i="57"/>
  <c r="R116" i="57"/>
  <c r="AJ115" i="57"/>
  <c r="S115" i="57"/>
  <c r="R115" i="57"/>
  <c r="AJ114" i="57"/>
  <c r="S114" i="57"/>
  <c r="R114" i="57"/>
  <c r="AJ113" i="57"/>
  <c r="S113" i="57"/>
  <c r="R113" i="57"/>
  <c r="AK112" i="57"/>
  <c r="AJ112" i="57"/>
  <c r="S112" i="57"/>
  <c r="R112" i="57"/>
  <c r="AK111" i="57"/>
  <c r="AJ111" i="57"/>
  <c r="S111" i="57"/>
  <c r="R111" i="57"/>
  <c r="AK110" i="57"/>
  <c r="AJ110" i="57"/>
  <c r="S110" i="57"/>
  <c r="R110" i="57"/>
  <c r="S109" i="57"/>
  <c r="R109" i="57"/>
  <c r="S108" i="57"/>
  <c r="R108" i="57"/>
  <c r="AK107" i="57"/>
  <c r="AJ107" i="57"/>
  <c r="S107" i="57"/>
  <c r="R107" i="57"/>
  <c r="AK106" i="57"/>
  <c r="AJ106" i="57"/>
  <c r="S106" i="57"/>
  <c r="R106" i="57"/>
  <c r="S105" i="57"/>
  <c r="R105" i="57"/>
  <c r="S104" i="57"/>
  <c r="R104" i="57"/>
  <c r="S103" i="57"/>
  <c r="R103" i="57"/>
  <c r="S102" i="57"/>
  <c r="R102" i="57"/>
  <c r="AK101" i="57"/>
  <c r="AJ101" i="57"/>
  <c r="S101" i="57"/>
  <c r="R101" i="57"/>
  <c r="S100" i="57"/>
  <c r="R100" i="57"/>
  <c r="AK99" i="57"/>
  <c r="AJ99" i="57"/>
  <c r="S99" i="57"/>
  <c r="R99" i="57"/>
  <c r="AK98" i="57"/>
  <c r="AJ98" i="57"/>
  <c r="S98" i="57"/>
  <c r="R98" i="57"/>
  <c r="AK97" i="57"/>
  <c r="AJ97" i="57"/>
  <c r="S97" i="57"/>
  <c r="R97" i="57"/>
  <c r="AK96" i="57"/>
  <c r="AJ96" i="57"/>
  <c r="S96" i="57"/>
  <c r="R96" i="57"/>
  <c r="P96" i="57"/>
  <c r="O96" i="57"/>
  <c r="N96" i="57"/>
  <c r="M96" i="57"/>
  <c r="L96" i="57"/>
  <c r="K96" i="57"/>
  <c r="J96" i="57"/>
  <c r="I96" i="57"/>
  <c r="H96" i="57"/>
  <c r="G96" i="57"/>
  <c r="F96" i="57"/>
  <c r="E96" i="57"/>
  <c r="AK95" i="57"/>
  <c r="AJ95" i="57"/>
  <c r="S95" i="57"/>
  <c r="R95" i="57"/>
  <c r="AK94" i="57"/>
  <c r="AJ94" i="57"/>
  <c r="S94" i="57"/>
  <c r="R94" i="57"/>
  <c r="AK93" i="57"/>
  <c r="AJ93" i="57"/>
  <c r="S93" i="57"/>
  <c r="R93" i="57"/>
  <c r="AK92" i="57"/>
  <c r="AJ92" i="57"/>
  <c r="S92" i="57"/>
  <c r="R92" i="57"/>
  <c r="AK91" i="57"/>
  <c r="AJ91" i="57"/>
  <c r="S91" i="57"/>
  <c r="R91" i="57"/>
  <c r="AK90" i="57"/>
  <c r="AJ90" i="57"/>
  <c r="S90" i="57"/>
  <c r="R90" i="57"/>
  <c r="AK89" i="57"/>
  <c r="AJ89" i="57"/>
  <c r="S89" i="57"/>
  <c r="R89" i="57"/>
  <c r="AK88" i="57"/>
  <c r="AJ88" i="57"/>
  <c r="S88" i="57"/>
  <c r="R88" i="57"/>
  <c r="AK87" i="57"/>
  <c r="AJ87" i="57"/>
  <c r="S87" i="57"/>
  <c r="R87" i="57"/>
  <c r="AK86" i="57"/>
  <c r="AJ86" i="57"/>
  <c r="S86" i="57"/>
  <c r="R86" i="57"/>
  <c r="AJ85" i="57"/>
  <c r="S85" i="57"/>
  <c r="R85" i="57"/>
  <c r="AJ84" i="57"/>
  <c r="S84" i="57"/>
  <c r="R84" i="57"/>
  <c r="AJ83" i="57"/>
  <c r="AH83" i="57"/>
  <c r="AG83" i="57"/>
  <c r="AF83" i="57"/>
  <c r="AE83" i="57"/>
  <c r="AD83" i="57"/>
  <c r="AC83" i="57"/>
  <c r="AB83" i="57"/>
  <c r="AA83" i="57"/>
  <c r="Z83" i="57"/>
  <c r="Y83" i="57"/>
  <c r="X83" i="57"/>
  <c r="W83" i="57"/>
  <c r="S83" i="57"/>
  <c r="R83" i="57"/>
  <c r="AJ82" i="57"/>
  <c r="AH82" i="57"/>
  <c r="AG82" i="57"/>
  <c r="AF82" i="57"/>
  <c r="AE82" i="57"/>
  <c r="AD82" i="57"/>
  <c r="AC82" i="57"/>
  <c r="AB82" i="57"/>
  <c r="AA82" i="57"/>
  <c r="Z82" i="57"/>
  <c r="Y82" i="57"/>
  <c r="X82" i="57"/>
  <c r="W82" i="57"/>
  <c r="S82" i="57"/>
  <c r="R82" i="57"/>
  <c r="AH81" i="57"/>
  <c r="AG81" i="57"/>
  <c r="AF81" i="57"/>
  <c r="AE81" i="57"/>
  <c r="AD81" i="57"/>
  <c r="AC81" i="57"/>
  <c r="AB81" i="57"/>
  <c r="AA81" i="57"/>
  <c r="Z81" i="57"/>
  <c r="Y81" i="57"/>
  <c r="X81" i="57"/>
  <c r="W81" i="57"/>
  <c r="S81" i="57"/>
  <c r="R81" i="57"/>
  <c r="AJ80" i="57"/>
  <c r="AH80" i="57"/>
  <c r="AG80" i="57"/>
  <c r="AF80" i="57"/>
  <c r="AE80" i="57"/>
  <c r="AD80" i="57"/>
  <c r="AC80" i="57"/>
  <c r="AB80" i="57"/>
  <c r="AA80" i="57"/>
  <c r="Z80" i="57"/>
  <c r="Y80" i="57"/>
  <c r="X80" i="57"/>
  <c r="W80" i="57"/>
  <c r="S80" i="57"/>
  <c r="R80" i="57"/>
  <c r="AJ79" i="57"/>
  <c r="AH79" i="57"/>
  <c r="AG79" i="57"/>
  <c r="AF79" i="57"/>
  <c r="AE79" i="57"/>
  <c r="AD79" i="57"/>
  <c r="AC79" i="57"/>
  <c r="AB79" i="57"/>
  <c r="AA79" i="57"/>
  <c r="Z79" i="57"/>
  <c r="Y79" i="57"/>
  <c r="X79" i="57"/>
  <c r="W79" i="57"/>
  <c r="S79" i="57"/>
  <c r="R79" i="57"/>
  <c r="AJ78" i="57"/>
  <c r="AH78" i="57"/>
  <c r="AG78" i="57"/>
  <c r="AF78" i="57"/>
  <c r="AE78" i="57"/>
  <c r="AD78" i="57"/>
  <c r="AC78" i="57"/>
  <c r="AB78" i="57"/>
  <c r="AA78" i="57"/>
  <c r="Z78" i="57"/>
  <c r="Y78" i="57"/>
  <c r="X78" i="57"/>
  <c r="W78" i="57"/>
  <c r="S78" i="57"/>
  <c r="R78" i="57"/>
  <c r="AJ77" i="57"/>
  <c r="AH77" i="57"/>
  <c r="AG77" i="57"/>
  <c r="AF77" i="57"/>
  <c r="AE77" i="57"/>
  <c r="AD77" i="57"/>
  <c r="AC77" i="57"/>
  <c r="AB77" i="57"/>
  <c r="AA77" i="57"/>
  <c r="Z77" i="57"/>
  <c r="Y77" i="57"/>
  <c r="X77" i="57"/>
  <c r="W77" i="57"/>
  <c r="S77" i="57"/>
  <c r="R77" i="57"/>
  <c r="AH76" i="57"/>
  <c r="AG76" i="57"/>
  <c r="AF76" i="57"/>
  <c r="AE76" i="57"/>
  <c r="AD76" i="57"/>
  <c r="AC76" i="57"/>
  <c r="AB76" i="57"/>
  <c r="AA76" i="57"/>
  <c r="Z76" i="57"/>
  <c r="Y76" i="57"/>
  <c r="X76" i="57"/>
  <c r="W76" i="57"/>
  <c r="S76" i="57"/>
  <c r="R76" i="57"/>
  <c r="AJ75" i="57"/>
  <c r="AH75" i="57"/>
  <c r="AG75" i="57"/>
  <c r="AF75" i="57"/>
  <c r="AE75" i="57"/>
  <c r="AD75" i="57"/>
  <c r="AC75" i="57"/>
  <c r="AB75" i="57"/>
  <c r="AA75" i="57"/>
  <c r="Z75" i="57"/>
  <c r="Y75" i="57"/>
  <c r="X75" i="57"/>
  <c r="W75" i="57"/>
  <c r="S75" i="57"/>
  <c r="R75" i="57"/>
  <c r="AJ74" i="57"/>
  <c r="AH74" i="57"/>
  <c r="AG74" i="57"/>
  <c r="AF74" i="57"/>
  <c r="AE74" i="57"/>
  <c r="AD74" i="57"/>
  <c r="AC74" i="57"/>
  <c r="AB74" i="57"/>
  <c r="AA74" i="57"/>
  <c r="Z74" i="57"/>
  <c r="Y74" i="57"/>
  <c r="X74" i="57"/>
  <c r="W74" i="57"/>
  <c r="S74" i="57"/>
  <c r="R74" i="57"/>
  <c r="AJ73" i="57"/>
  <c r="AH73" i="57"/>
  <c r="AG73" i="57"/>
  <c r="AF73" i="57"/>
  <c r="AE73" i="57"/>
  <c r="AD73" i="57"/>
  <c r="AC73" i="57"/>
  <c r="AB73" i="57"/>
  <c r="AA73" i="57"/>
  <c r="Z73" i="57"/>
  <c r="Y73" i="57"/>
  <c r="X73" i="57"/>
  <c r="W73" i="57"/>
  <c r="S73" i="57"/>
  <c r="R73" i="57"/>
  <c r="AJ72" i="57"/>
  <c r="AH72" i="57"/>
  <c r="AG72" i="57"/>
  <c r="AF72" i="57"/>
  <c r="AE72" i="57"/>
  <c r="AD72" i="57"/>
  <c r="AC72" i="57"/>
  <c r="AB72" i="57"/>
  <c r="AA72" i="57"/>
  <c r="Z72" i="57"/>
  <c r="Y72" i="57"/>
  <c r="X72" i="57"/>
  <c r="W72" i="57"/>
  <c r="S72" i="57"/>
  <c r="R72" i="57"/>
  <c r="AH71" i="57"/>
  <c r="AG71" i="57"/>
  <c r="AF71" i="57"/>
  <c r="AE71" i="57"/>
  <c r="AD71" i="57"/>
  <c r="AC71" i="57"/>
  <c r="AB71" i="57"/>
  <c r="AA71" i="57"/>
  <c r="Z71" i="57"/>
  <c r="Y71" i="57"/>
  <c r="X71" i="57"/>
  <c r="W71" i="57"/>
  <c r="S71" i="57"/>
  <c r="R71" i="57"/>
  <c r="AH70" i="57"/>
  <c r="AG70" i="57"/>
  <c r="AF70" i="57"/>
  <c r="AE70" i="57"/>
  <c r="AD70" i="57"/>
  <c r="AC70" i="57"/>
  <c r="AB70" i="57"/>
  <c r="AA70" i="57"/>
  <c r="Z70" i="57"/>
  <c r="Y70" i="57"/>
  <c r="X70" i="57"/>
  <c r="W70" i="57"/>
  <c r="S70" i="57"/>
  <c r="R70" i="57"/>
  <c r="AJ69" i="57"/>
  <c r="AH69" i="57"/>
  <c r="AG69" i="57"/>
  <c r="AF69" i="57"/>
  <c r="AE69" i="57"/>
  <c r="AD69" i="57"/>
  <c r="AC69" i="57"/>
  <c r="AB69" i="57"/>
  <c r="AA69" i="57"/>
  <c r="Z69" i="57"/>
  <c r="Y69" i="57"/>
  <c r="X69" i="57"/>
  <c r="W69" i="57"/>
  <c r="S69" i="57"/>
  <c r="R69" i="57"/>
  <c r="AJ68" i="57"/>
  <c r="AH68" i="57"/>
  <c r="AG68" i="57"/>
  <c r="AF68" i="57"/>
  <c r="I12" i="57" s="1"/>
  <c r="AE68" i="57"/>
  <c r="AD68" i="57"/>
  <c r="AC68" i="57"/>
  <c r="AB68" i="57"/>
  <c r="AA68" i="57"/>
  <c r="Z68" i="57"/>
  <c r="Y68" i="57"/>
  <c r="X68" i="57"/>
  <c r="W68" i="57"/>
  <c r="S68" i="57"/>
  <c r="R68" i="57"/>
  <c r="AJ67" i="57"/>
  <c r="AH67" i="57"/>
  <c r="AG67" i="57"/>
  <c r="AF67" i="57"/>
  <c r="AE67" i="57"/>
  <c r="AD67" i="57"/>
  <c r="AC67" i="57"/>
  <c r="AB67" i="57"/>
  <c r="AA67" i="57"/>
  <c r="Z67" i="57"/>
  <c r="Y67" i="57"/>
  <c r="X67" i="57"/>
  <c r="W67" i="57"/>
  <c r="S67" i="57"/>
  <c r="R67" i="57"/>
  <c r="AJ66" i="57"/>
  <c r="AH66" i="57"/>
  <c r="AG66" i="57"/>
  <c r="AF66" i="57"/>
  <c r="AE66" i="57"/>
  <c r="AD66" i="57"/>
  <c r="AC66" i="57"/>
  <c r="AB66" i="57"/>
  <c r="AA66" i="57"/>
  <c r="Z66" i="57"/>
  <c r="Y66" i="57"/>
  <c r="X66" i="57"/>
  <c r="W66" i="57"/>
  <c r="S66" i="57"/>
  <c r="R66" i="57"/>
  <c r="AJ65" i="57"/>
  <c r="AH65" i="57"/>
  <c r="AG65" i="57"/>
  <c r="AF65" i="57"/>
  <c r="AE65" i="57"/>
  <c r="AD65" i="57"/>
  <c r="AC65" i="57"/>
  <c r="AB65" i="57"/>
  <c r="AA65" i="57"/>
  <c r="Z65" i="57"/>
  <c r="Y65" i="57"/>
  <c r="X65" i="57"/>
  <c r="W65" i="57"/>
  <c r="S65" i="57"/>
  <c r="R65" i="57"/>
  <c r="AJ64" i="57"/>
  <c r="AH64" i="57"/>
  <c r="AG64" i="57"/>
  <c r="AF64" i="57"/>
  <c r="AE64" i="57"/>
  <c r="AD64" i="57"/>
  <c r="AC64" i="57"/>
  <c r="AB64" i="57"/>
  <c r="AA64" i="57"/>
  <c r="Z64" i="57"/>
  <c r="Y64" i="57"/>
  <c r="X64" i="57"/>
  <c r="W64" i="57"/>
  <c r="S64" i="57"/>
  <c r="R64" i="57"/>
  <c r="AJ63" i="57"/>
  <c r="AH63" i="57"/>
  <c r="AG63" i="57"/>
  <c r="AF63" i="57"/>
  <c r="AE63" i="57"/>
  <c r="AD63" i="57"/>
  <c r="AC63" i="57"/>
  <c r="AB63" i="57"/>
  <c r="AA63" i="57"/>
  <c r="Z63" i="57"/>
  <c r="Y63" i="57"/>
  <c r="X63" i="57"/>
  <c r="W63" i="57"/>
  <c r="S63" i="57"/>
  <c r="R63" i="57"/>
  <c r="AH62" i="57"/>
  <c r="AG62" i="57"/>
  <c r="AF62" i="57"/>
  <c r="AE62" i="57"/>
  <c r="AD62" i="57"/>
  <c r="AC62" i="57"/>
  <c r="AB62" i="57"/>
  <c r="AA62" i="57"/>
  <c r="Z62" i="57"/>
  <c r="Y62" i="57"/>
  <c r="X62" i="57"/>
  <c r="W62" i="57"/>
  <c r="S62" i="57"/>
  <c r="R62" i="57"/>
  <c r="AJ61" i="57"/>
  <c r="AH61" i="57"/>
  <c r="AG61" i="57"/>
  <c r="AF61" i="57"/>
  <c r="AE61" i="57"/>
  <c r="AD61" i="57"/>
  <c r="AC61" i="57"/>
  <c r="AB61" i="57"/>
  <c r="AA61" i="57"/>
  <c r="Z61" i="57"/>
  <c r="Y61" i="57"/>
  <c r="X61" i="57"/>
  <c r="W61" i="57"/>
  <c r="S61" i="57"/>
  <c r="R61" i="57"/>
  <c r="AJ60" i="57"/>
  <c r="AH60" i="57"/>
  <c r="AG60" i="57"/>
  <c r="AF60" i="57"/>
  <c r="AE60" i="57"/>
  <c r="AD60" i="57"/>
  <c r="AC60" i="57"/>
  <c r="AB60" i="57"/>
  <c r="AA60" i="57"/>
  <c r="Z60" i="57"/>
  <c r="Y60" i="57"/>
  <c r="X60" i="57"/>
  <c r="W60" i="57"/>
  <c r="S60" i="57"/>
  <c r="R60" i="57"/>
  <c r="AH59" i="57"/>
  <c r="AG59" i="57"/>
  <c r="AF59" i="57"/>
  <c r="AE59" i="57"/>
  <c r="AD59" i="57"/>
  <c r="AC59" i="57"/>
  <c r="AB59" i="57"/>
  <c r="AA59" i="57"/>
  <c r="Z59" i="57"/>
  <c r="Y59" i="57"/>
  <c r="X59" i="57"/>
  <c r="W59" i="57"/>
  <c r="S59" i="57"/>
  <c r="R59" i="57"/>
  <c r="AJ58" i="57"/>
  <c r="AH58" i="57"/>
  <c r="AG58" i="57"/>
  <c r="AF58" i="57"/>
  <c r="AE58" i="57"/>
  <c r="AD58" i="57"/>
  <c r="AC58" i="57"/>
  <c r="AB58" i="57"/>
  <c r="AA58" i="57"/>
  <c r="Z58" i="57"/>
  <c r="Y58" i="57"/>
  <c r="X58" i="57"/>
  <c r="W58" i="57"/>
  <c r="S58" i="57"/>
  <c r="R58" i="57"/>
  <c r="AJ57" i="57"/>
  <c r="AH57" i="57"/>
  <c r="AG57" i="57"/>
  <c r="AF57" i="57"/>
  <c r="AE57" i="57"/>
  <c r="AD57" i="57"/>
  <c r="AC57" i="57"/>
  <c r="AB57" i="57"/>
  <c r="AA57" i="57"/>
  <c r="Z57" i="57"/>
  <c r="Y57" i="57"/>
  <c r="X57" i="57"/>
  <c r="W57" i="57"/>
  <c r="S57" i="57"/>
  <c r="R57" i="57"/>
  <c r="AJ56" i="57"/>
  <c r="AH56" i="57"/>
  <c r="AG56" i="57"/>
  <c r="AF56" i="57"/>
  <c r="AE56" i="57"/>
  <c r="AD56" i="57"/>
  <c r="AC56" i="57"/>
  <c r="AB56" i="57"/>
  <c r="AA56" i="57"/>
  <c r="Z56" i="57"/>
  <c r="Y56" i="57"/>
  <c r="X56" i="57"/>
  <c r="W56" i="57"/>
  <c r="S56" i="57"/>
  <c r="R56" i="57"/>
  <c r="AJ55" i="57"/>
  <c r="AH55" i="57"/>
  <c r="AG55" i="57"/>
  <c r="AF55" i="57"/>
  <c r="AE55" i="57"/>
  <c r="AD55" i="57"/>
  <c r="AC55" i="57"/>
  <c r="AB55" i="57"/>
  <c r="AA55" i="57"/>
  <c r="Z55" i="57"/>
  <c r="Y55" i="57"/>
  <c r="X55" i="57"/>
  <c r="W55" i="57"/>
  <c r="S55" i="57"/>
  <c r="R55" i="57"/>
  <c r="AJ54" i="57"/>
  <c r="AH54" i="57"/>
  <c r="AG54" i="57"/>
  <c r="AF54" i="57"/>
  <c r="AE54" i="57"/>
  <c r="AD54" i="57"/>
  <c r="AC54" i="57"/>
  <c r="AB54" i="57"/>
  <c r="AA54" i="57"/>
  <c r="Z54" i="57"/>
  <c r="Y54" i="57"/>
  <c r="X54" i="57"/>
  <c r="W54" i="57"/>
  <c r="S54" i="57"/>
  <c r="R54" i="57"/>
  <c r="AJ53" i="57"/>
  <c r="AH53" i="57"/>
  <c r="AG53" i="57"/>
  <c r="AF53" i="57"/>
  <c r="AE53" i="57"/>
  <c r="AD53" i="57"/>
  <c r="AC53" i="57"/>
  <c r="AB53" i="57"/>
  <c r="AA53" i="57"/>
  <c r="Z53" i="57"/>
  <c r="Y53" i="57"/>
  <c r="X53" i="57"/>
  <c r="W53" i="57"/>
  <c r="S53" i="57"/>
  <c r="R53" i="57"/>
  <c r="P53" i="57"/>
  <c r="O53" i="57"/>
  <c r="N53" i="57"/>
  <c r="M53" i="57"/>
  <c r="L53" i="57"/>
  <c r="K53" i="57"/>
  <c r="J53" i="57"/>
  <c r="I53" i="57"/>
  <c r="H53" i="57"/>
  <c r="G53" i="57"/>
  <c r="F53" i="57"/>
  <c r="E53" i="57"/>
  <c r="D53" i="57"/>
  <c r="AH52" i="57"/>
  <c r="AG52" i="57"/>
  <c r="AF52" i="57"/>
  <c r="AE52" i="57"/>
  <c r="AD52" i="57"/>
  <c r="AC52" i="57"/>
  <c r="AB52" i="57"/>
  <c r="AA52" i="57"/>
  <c r="Z52" i="57"/>
  <c r="Y52" i="57"/>
  <c r="X52" i="57"/>
  <c r="W52" i="57"/>
  <c r="S52" i="57"/>
  <c r="R52" i="57"/>
  <c r="AJ51" i="57"/>
  <c r="AH51" i="57"/>
  <c r="AG51" i="57"/>
  <c r="AF51" i="57"/>
  <c r="AE51" i="57"/>
  <c r="AD51" i="57"/>
  <c r="AC51" i="57"/>
  <c r="AB51" i="57"/>
  <c r="AA51" i="57"/>
  <c r="Z51" i="57"/>
  <c r="Y51" i="57"/>
  <c r="X51" i="57"/>
  <c r="W51" i="57"/>
  <c r="S51" i="57"/>
  <c r="R51" i="57"/>
  <c r="AJ50" i="57"/>
  <c r="AH50" i="57"/>
  <c r="AG50" i="57"/>
  <c r="AF50" i="57"/>
  <c r="H12" i="57" s="1"/>
  <c r="AE50" i="57"/>
  <c r="AD50" i="57"/>
  <c r="AC50" i="57"/>
  <c r="AB50" i="57"/>
  <c r="AA50" i="57"/>
  <c r="Z50" i="57"/>
  <c r="Y50" i="57"/>
  <c r="X50" i="57"/>
  <c r="S50" i="57"/>
  <c r="R50" i="57"/>
  <c r="AJ49" i="57"/>
  <c r="AH49" i="57"/>
  <c r="AG49" i="57"/>
  <c r="AF49" i="57"/>
  <c r="AE49" i="57"/>
  <c r="AD49" i="57"/>
  <c r="AC49" i="57"/>
  <c r="AB49" i="57"/>
  <c r="AA49" i="57"/>
  <c r="Z49" i="57"/>
  <c r="Y49" i="57"/>
  <c r="X49" i="57"/>
  <c r="W49" i="57"/>
  <c r="S49" i="57"/>
  <c r="R49" i="57"/>
  <c r="AH48" i="57"/>
  <c r="AG48" i="57"/>
  <c r="AF48" i="57"/>
  <c r="AE48" i="57"/>
  <c r="AD48" i="57"/>
  <c r="AC48" i="57"/>
  <c r="AB48" i="57"/>
  <c r="AA48" i="57"/>
  <c r="Z48" i="57"/>
  <c r="Y48" i="57"/>
  <c r="X48" i="57"/>
  <c r="W48" i="57"/>
  <c r="S48" i="57"/>
  <c r="R48" i="57"/>
  <c r="AJ47" i="57"/>
  <c r="AH47" i="57"/>
  <c r="AG47" i="57"/>
  <c r="AF47" i="57"/>
  <c r="AE47" i="57"/>
  <c r="AD47" i="57"/>
  <c r="AC47" i="57"/>
  <c r="AB47" i="57"/>
  <c r="AA47" i="57"/>
  <c r="Z47" i="57"/>
  <c r="Y47" i="57"/>
  <c r="X47" i="57"/>
  <c r="W47" i="57"/>
  <c r="S47" i="57"/>
  <c r="R47" i="57"/>
  <c r="AH46" i="57"/>
  <c r="AG46" i="57"/>
  <c r="AF46" i="57"/>
  <c r="AE46" i="57"/>
  <c r="AD46" i="57"/>
  <c r="AC46" i="57"/>
  <c r="AB46" i="57"/>
  <c r="AA46" i="57"/>
  <c r="Z46" i="57"/>
  <c r="Y46" i="57"/>
  <c r="X46" i="57"/>
  <c r="W46" i="57"/>
  <c r="S46" i="57"/>
  <c r="R46" i="57"/>
  <c r="AJ45" i="57"/>
  <c r="AH45" i="57"/>
  <c r="AG45" i="57"/>
  <c r="AF45" i="57"/>
  <c r="AE45" i="57"/>
  <c r="AD45" i="57"/>
  <c r="AC45" i="57"/>
  <c r="AB45" i="57"/>
  <c r="AA45" i="57"/>
  <c r="Z45" i="57"/>
  <c r="Y45" i="57"/>
  <c r="X45" i="57"/>
  <c r="W45" i="57"/>
  <c r="S45" i="57"/>
  <c r="R45" i="57"/>
  <c r="P45" i="57"/>
  <c r="O45" i="57"/>
  <c r="N45" i="57"/>
  <c r="M45" i="57"/>
  <c r="L45" i="57"/>
  <c r="K45" i="57"/>
  <c r="J45" i="57"/>
  <c r="I45" i="57"/>
  <c r="H45" i="57"/>
  <c r="G45" i="57"/>
  <c r="F45" i="57"/>
  <c r="E45" i="57"/>
  <c r="D45" i="57"/>
  <c r="D15" i="57" s="1"/>
  <c r="AJ44" i="57"/>
  <c r="AH44" i="57"/>
  <c r="AG44" i="57"/>
  <c r="AF44" i="57"/>
  <c r="AE44" i="57"/>
  <c r="AD44" i="57"/>
  <c r="AC44" i="57"/>
  <c r="AB44" i="57"/>
  <c r="AA44" i="57"/>
  <c r="Z44" i="57"/>
  <c r="Y44" i="57"/>
  <c r="X44" i="57"/>
  <c r="W44" i="57"/>
  <c r="S44" i="57"/>
  <c r="R44" i="57"/>
  <c r="AJ43" i="57"/>
  <c r="AH43" i="57"/>
  <c r="AG43" i="57"/>
  <c r="AF43" i="57"/>
  <c r="G12" i="57" s="1"/>
  <c r="AE43" i="57"/>
  <c r="AD43" i="57"/>
  <c r="AC43" i="57"/>
  <c r="AB43" i="57"/>
  <c r="AA43" i="57"/>
  <c r="Z43" i="57"/>
  <c r="Y43" i="57"/>
  <c r="X43" i="57"/>
  <c r="W43" i="57"/>
  <c r="S43" i="57"/>
  <c r="R43" i="57"/>
  <c r="AJ42" i="57"/>
  <c r="AH42" i="57"/>
  <c r="AG42" i="57"/>
  <c r="AF42" i="57"/>
  <c r="AE42" i="57"/>
  <c r="AD42" i="57"/>
  <c r="AC42" i="57"/>
  <c r="AB42" i="57"/>
  <c r="AA42" i="57"/>
  <c r="Z42" i="57"/>
  <c r="Y42" i="57"/>
  <c r="X42" i="57"/>
  <c r="W42" i="57"/>
  <c r="S42" i="57"/>
  <c r="R42" i="57"/>
  <c r="AJ41" i="57"/>
  <c r="AH41" i="57"/>
  <c r="AG41" i="57"/>
  <c r="AF41" i="57"/>
  <c r="AE41" i="57"/>
  <c r="AD41" i="57"/>
  <c r="AC41" i="57"/>
  <c r="AB41" i="57"/>
  <c r="AA41" i="57"/>
  <c r="Z41" i="57"/>
  <c r="Y41" i="57"/>
  <c r="X41" i="57"/>
  <c r="W41" i="57"/>
  <c r="S41" i="57"/>
  <c r="R41" i="57"/>
  <c r="AJ40" i="57"/>
  <c r="AH40" i="57"/>
  <c r="AG40" i="57"/>
  <c r="AF40" i="57"/>
  <c r="AE40" i="57"/>
  <c r="AD40" i="57"/>
  <c r="AC40" i="57"/>
  <c r="AB40" i="57"/>
  <c r="AA40" i="57"/>
  <c r="Z40" i="57"/>
  <c r="Y40" i="57"/>
  <c r="X40" i="57"/>
  <c r="W40" i="57"/>
  <c r="S40" i="57"/>
  <c r="R40" i="57"/>
  <c r="AJ39" i="57"/>
  <c r="AH39" i="57"/>
  <c r="AG39" i="57"/>
  <c r="AF39" i="57"/>
  <c r="AE39" i="57"/>
  <c r="AD39" i="57"/>
  <c r="AC39" i="57"/>
  <c r="AB39" i="57"/>
  <c r="AA39" i="57"/>
  <c r="Z39" i="57"/>
  <c r="Y39" i="57"/>
  <c r="X39" i="57"/>
  <c r="W39" i="57"/>
  <c r="S39" i="57"/>
  <c r="R39" i="57"/>
  <c r="AJ38" i="57"/>
  <c r="AH38" i="57"/>
  <c r="AG38" i="57"/>
  <c r="AF38" i="57"/>
  <c r="AE38" i="57"/>
  <c r="AD38" i="57"/>
  <c r="AC38" i="57"/>
  <c r="AB38" i="57"/>
  <c r="AA38" i="57"/>
  <c r="Z38" i="57"/>
  <c r="Y38" i="57"/>
  <c r="X38" i="57"/>
  <c r="W38" i="57"/>
  <c r="S38" i="57"/>
  <c r="R38" i="57"/>
  <c r="AJ37" i="57"/>
  <c r="AH37" i="57"/>
  <c r="AG37" i="57"/>
  <c r="AF37" i="57"/>
  <c r="AE37" i="57"/>
  <c r="AD37" i="57"/>
  <c r="AC37" i="57"/>
  <c r="AB37" i="57"/>
  <c r="AA37" i="57"/>
  <c r="Z37" i="57"/>
  <c r="Y37" i="57"/>
  <c r="X37" i="57"/>
  <c r="W37" i="57"/>
  <c r="S37" i="57"/>
  <c r="R37" i="57"/>
  <c r="P37" i="57"/>
  <c r="O37" i="57"/>
  <c r="N37" i="57"/>
  <c r="M37" i="57"/>
  <c r="L37" i="57"/>
  <c r="K37" i="57"/>
  <c r="J37" i="57"/>
  <c r="I37" i="57"/>
  <c r="I15" i="57" s="1"/>
  <c r="H37" i="57"/>
  <c r="G37" i="57"/>
  <c r="F37" i="57"/>
  <c r="E37" i="57"/>
  <c r="D37" i="57"/>
  <c r="AJ36" i="57"/>
  <c r="AH36" i="57"/>
  <c r="AG36" i="57"/>
  <c r="AF36" i="57"/>
  <c r="AE36" i="57"/>
  <c r="AD36" i="57"/>
  <c r="AC36" i="57"/>
  <c r="AB36" i="57"/>
  <c r="AA36" i="57"/>
  <c r="Z36" i="57"/>
  <c r="Y36" i="57"/>
  <c r="X36" i="57"/>
  <c r="W36" i="57"/>
  <c r="S36" i="57"/>
  <c r="R36" i="57"/>
  <c r="AH35" i="57"/>
  <c r="AG35" i="57"/>
  <c r="AF35" i="57"/>
  <c r="AE35" i="57"/>
  <c r="AD35" i="57"/>
  <c r="AC35" i="57"/>
  <c r="AB35" i="57"/>
  <c r="AA35" i="57"/>
  <c r="Z35" i="57"/>
  <c r="Y35" i="57"/>
  <c r="X35" i="57"/>
  <c r="W35" i="57"/>
  <c r="S35" i="57"/>
  <c r="R35" i="57"/>
  <c r="AJ34" i="57"/>
  <c r="AH34" i="57"/>
  <c r="AG34" i="57"/>
  <c r="AF34" i="57"/>
  <c r="AE34" i="57"/>
  <c r="AD34" i="57"/>
  <c r="AC34" i="57"/>
  <c r="AB34" i="57"/>
  <c r="AA34" i="57"/>
  <c r="Z34" i="57"/>
  <c r="Y34" i="57"/>
  <c r="X34" i="57"/>
  <c r="W34" i="57"/>
  <c r="S34" i="57"/>
  <c r="R34" i="57"/>
  <c r="AJ33" i="57"/>
  <c r="AH33" i="57"/>
  <c r="AG33" i="57"/>
  <c r="AF33" i="57"/>
  <c r="F12" i="57" s="1"/>
  <c r="AE33" i="57"/>
  <c r="AD33" i="57"/>
  <c r="AC33" i="57"/>
  <c r="AB33" i="57"/>
  <c r="AA33" i="57"/>
  <c r="Z33" i="57"/>
  <c r="Y33" i="57"/>
  <c r="X33" i="57"/>
  <c r="S33" i="57"/>
  <c r="R33" i="57"/>
  <c r="AJ32" i="57"/>
  <c r="AH32" i="57"/>
  <c r="AG32" i="57"/>
  <c r="AF32" i="57"/>
  <c r="AE32" i="57"/>
  <c r="AD32" i="57"/>
  <c r="AC32" i="57"/>
  <c r="AB32" i="57"/>
  <c r="AA32" i="57"/>
  <c r="Z32" i="57"/>
  <c r="Y32" i="57"/>
  <c r="X32" i="57"/>
  <c r="W32" i="57"/>
  <c r="S32" i="57"/>
  <c r="R32" i="57"/>
  <c r="AJ31" i="57"/>
  <c r="AH31" i="57"/>
  <c r="AG31" i="57"/>
  <c r="AF31" i="57"/>
  <c r="AE31" i="57"/>
  <c r="AD31" i="57"/>
  <c r="AC31" i="57"/>
  <c r="AB31" i="57"/>
  <c r="AA31" i="57"/>
  <c r="Z31" i="57"/>
  <c r="Y31" i="57"/>
  <c r="X31" i="57"/>
  <c r="W31" i="57"/>
  <c r="S31" i="57"/>
  <c r="R31" i="57"/>
  <c r="AJ30" i="57"/>
  <c r="AH30" i="57"/>
  <c r="AG30" i="57"/>
  <c r="AF30" i="57"/>
  <c r="AE30" i="57"/>
  <c r="AD30" i="57"/>
  <c r="AC30" i="57"/>
  <c r="AB30" i="57"/>
  <c r="AA30" i="57"/>
  <c r="Z30" i="57"/>
  <c r="Y30" i="57"/>
  <c r="X30" i="57"/>
  <c r="W30" i="57"/>
  <c r="S30" i="57"/>
  <c r="R30" i="57"/>
  <c r="AJ29" i="57"/>
  <c r="AH29" i="57"/>
  <c r="AG29" i="57"/>
  <c r="AF29" i="57"/>
  <c r="AE29" i="57"/>
  <c r="AD29" i="57"/>
  <c r="AC29" i="57"/>
  <c r="AB29" i="57"/>
  <c r="AA29" i="57"/>
  <c r="Z29" i="57"/>
  <c r="Y29" i="57"/>
  <c r="X29" i="57"/>
  <c r="W29" i="57"/>
  <c r="S29" i="57"/>
  <c r="R29" i="57"/>
  <c r="AJ28" i="57"/>
  <c r="AH28" i="57"/>
  <c r="AG28" i="57"/>
  <c r="AF28" i="57"/>
  <c r="E12" i="57" s="1"/>
  <c r="AE28" i="57"/>
  <c r="AD28" i="57"/>
  <c r="AC28" i="57"/>
  <c r="AB28" i="57"/>
  <c r="AA28" i="57"/>
  <c r="Z28" i="57"/>
  <c r="Y28" i="57"/>
  <c r="X28" i="57"/>
  <c r="S28" i="57"/>
  <c r="R28" i="57"/>
  <c r="AH27" i="57"/>
  <c r="AG27" i="57"/>
  <c r="AF27" i="57"/>
  <c r="AE27" i="57"/>
  <c r="AD27" i="57"/>
  <c r="AC27" i="57"/>
  <c r="AB27" i="57"/>
  <c r="AA27" i="57"/>
  <c r="Z27" i="57"/>
  <c r="Y27" i="57"/>
  <c r="X27" i="57"/>
  <c r="W27" i="57"/>
  <c r="S27" i="57"/>
  <c r="R27" i="57"/>
  <c r="AH26" i="57"/>
  <c r="AG26" i="57"/>
  <c r="AF26" i="57"/>
  <c r="AE26" i="57"/>
  <c r="AD26" i="57"/>
  <c r="AC26" i="57"/>
  <c r="AB26" i="57"/>
  <c r="AA26" i="57"/>
  <c r="Z26" i="57"/>
  <c r="Y26" i="57"/>
  <c r="X26" i="57"/>
  <c r="W26" i="57"/>
  <c r="S26" i="57"/>
  <c r="R26" i="57"/>
  <c r="AH25" i="57"/>
  <c r="AG25" i="57"/>
  <c r="AF25" i="57"/>
  <c r="AE25" i="57"/>
  <c r="AD25" i="57"/>
  <c r="AC25" i="57"/>
  <c r="AB25" i="57"/>
  <c r="AA25" i="57"/>
  <c r="Z25" i="57"/>
  <c r="Y25" i="57"/>
  <c r="X25" i="57"/>
  <c r="W25" i="57"/>
  <c r="S25" i="57"/>
  <c r="R25" i="57"/>
  <c r="AJ24" i="57"/>
  <c r="AH24" i="57"/>
  <c r="AG24" i="57"/>
  <c r="AF24" i="57"/>
  <c r="D12" i="57" s="1"/>
  <c r="AE24" i="57"/>
  <c r="AD24" i="57"/>
  <c r="AC24" i="57"/>
  <c r="AB24" i="57"/>
  <c r="AA24" i="57"/>
  <c r="Z24" i="57"/>
  <c r="Y24" i="57"/>
  <c r="X24" i="57"/>
  <c r="S24" i="57"/>
  <c r="R24" i="57"/>
  <c r="AJ23" i="57"/>
  <c r="AH23" i="57"/>
  <c r="AG23" i="57"/>
  <c r="AF23" i="57"/>
  <c r="AE23" i="57"/>
  <c r="AD23" i="57"/>
  <c r="AC23" i="57"/>
  <c r="AB23" i="57"/>
  <c r="AA23" i="57"/>
  <c r="Z23" i="57"/>
  <c r="Y23" i="57"/>
  <c r="X23" i="57"/>
  <c r="W23" i="57"/>
  <c r="S23" i="57"/>
  <c r="R23" i="57"/>
  <c r="AI22" i="57"/>
  <c r="AH22" i="57"/>
  <c r="AG22" i="57"/>
  <c r="AF22" i="57"/>
  <c r="C12" i="57" s="1"/>
  <c r="AE22" i="57"/>
  <c r="AD22" i="57"/>
  <c r="AC22" i="57"/>
  <c r="AB22" i="57"/>
  <c r="AA22" i="57"/>
  <c r="Z22" i="57"/>
  <c r="Y22" i="57"/>
  <c r="X22" i="57"/>
  <c r="W22" i="57"/>
  <c r="S22" i="57"/>
  <c r="R22" i="57"/>
  <c r="AJ21" i="57"/>
  <c r="AH21" i="57"/>
  <c r="AG21" i="57"/>
  <c r="AF21" i="57"/>
  <c r="AE21" i="57"/>
  <c r="AD21" i="57"/>
  <c r="AC21" i="57"/>
  <c r="AB21" i="57"/>
  <c r="AA21" i="57"/>
  <c r="Z21" i="57"/>
  <c r="Y21" i="57"/>
  <c r="X21" i="57"/>
  <c r="W21" i="57"/>
  <c r="S21" i="57"/>
  <c r="R21" i="57"/>
  <c r="AJ20" i="57"/>
  <c r="AH20" i="57"/>
  <c r="AG20" i="57"/>
  <c r="AF20" i="57"/>
  <c r="AE20" i="57"/>
  <c r="AD20" i="57"/>
  <c r="AC20" i="57"/>
  <c r="AB20" i="57"/>
  <c r="AA20" i="57"/>
  <c r="Z20" i="57"/>
  <c r="Y20" i="57"/>
  <c r="X20" i="57"/>
  <c r="W20" i="57"/>
  <c r="S20" i="57"/>
  <c r="R20" i="57"/>
  <c r="AJ19" i="57"/>
  <c r="AH19" i="57"/>
  <c r="AG19" i="57"/>
  <c r="AF19" i="57"/>
  <c r="AE19" i="57"/>
  <c r="AD19" i="57"/>
  <c r="AC19" i="57"/>
  <c r="AB19" i="57"/>
  <c r="AA19" i="57"/>
  <c r="Z19" i="57"/>
  <c r="Y19" i="57"/>
  <c r="X19" i="57"/>
  <c r="W19" i="57"/>
  <c r="S19" i="57"/>
  <c r="R19" i="57"/>
  <c r="S18" i="57"/>
  <c r="R18" i="57"/>
  <c r="P17" i="57"/>
  <c r="O17" i="57"/>
  <c r="N17" i="57"/>
  <c r="N15" i="57" s="1"/>
  <c r="M17" i="57"/>
  <c r="M15" i="57" s="1"/>
  <c r="L17" i="57"/>
  <c r="L15" i="57" s="1"/>
  <c r="K17" i="57"/>
  <c r="K15" i="57" s="1"/>
  <c r="J17" i="57"/>
  <c r="J15" i="57" s="1"/>
  <c r="I17" i="57"/>
  <c r="H17" i="57"/>
  <c r="G17" i="57"/>
  <c r="F17" i="57"/>
  <c r="F15" i="57" s="1"/>
  <c r="E17" i="57"/>
  <c r="D17" i="57"/>
  <c r="K12" i="57"/>
  <c r="J12" i="57"/>
  <c r="M7" i="57"/>
  <c r="D7" i="57"/>
  <c r="F7" i="57" s="1"/>
  <c r="B7" i="57"/>
  <c r="M6" i="57"/>
  <c r="D5" i="57"/>
  <c r="C5" i="57"/>
  <c r="C3" i="57" s="1"/>
  <c r="B5" i="57"/>
  <c r="N4" i="57"/>
  <c r="D4" i="57"/>
  <c r="D3" i="57" s="1"/>
  <c r="E3" i="57" s="1"/>
  <c r="B4" i="57"/>
  <c r="N3" i="57"/>
  <c r="I36" i="58" l="1"/>
  <c r="D18" i="58"/>
  <c r="F18" i="58"/>
  <c r="E101" i="58"/>
  <c r="E103" i="58" s="1"/>
  <c r="D10" i="14"/>
  <c r="F101" i="58"/>
  <c r="F103" i="58" s="1"/>
  <c r="E10" i="14"/>
  <c r="G101" i="58"/>
  <c r="G103" i="58" s="1"/>
  <c r="F10" i="14"/>
  <c r="H101" i="58"/>
  <c r="H103" i="58" s="1"/>
  <c r="G10" i="14"/>
  <c r="H55" i="58"/>
  <c r="E18" i="58"/>
  <c r="E54" i="58"/>
  <c r="E37" i="58"/>
  <c r="E36" i="58"/>
  <c r="G20" i="58"/>
  <c r="H39" i="58" s="1"/>
  <c r="I38" i="58"/>
  <c r="H20" i="58"/>
  <c r="I39" i="58" s="1"/>
  <c r="I20" i="58"/>
  <c r="E45" i="58"/>
  <c r="E44" i="58"/>
  <c r="D21" i="58"/>
  <c r="E47" i="58" s="1"/>
  <c r="I17" i="58"/>
  <c r="I37" i="58"/>
  <c r="I45" i="58"/>
  <c r="I54" i="58"/>
  <c r="I55" i="58"/>
  <c r="F7" i="58"/>
  <c r="F36" i="58" s="1"/>
  <c r="E53" i="58"/>
  <c r="G7" i="58"/>
  <c r="G18" i="58"/>
  <c r="E21" i="58"/>
  <c r="F47" i="58" s="1"/>
  <c r="I44" i="58"/>
  <c r="H7" i="58"/>
  <c r="D16" i="58"/>
  <c r="H18" i="58"/>
  <c r="F21" i="58"/>
  <c r="G47" i="58" s="1"/>
  <c r="E16" i="58"/>
  <c r="I18" i="58"/>
  <c r="G21" i="58"/>
  <c r="H47" i="58" s="1"/>
  <c r="F16" i="58"/>
  <c r="H21" i="58"/>
  <c r="I47" i="58" s="1"/>
  <c r="F27" i="58"/>
  <c r="I53" i="58"/>
  <c r="F8" i="58"/>
  <c r="F54" i="58" s="1"/>
  <c r="G16" i="58"/>
  <c r="I21" i="58"/>
  <c r="G8" i="58"/>
  <c r="G37" i="58" s="1"/>
  <c r="H16" i="58"/>
  <c r="D22" i="58"/>
  <c r="E56" i="58" s="1"/>
  <c r="H8" i="58"/>
  <c r="H37" i="58" s="1"/>
  <c r="I16" i="58"/>
  <c r="E22" i="58"/>
  <c r="F56" i="58" s="1"/>
  <c r="E46" i="58"/>
  <c r="E81" i="58"/>
  <c r="F81" i="58" s="1"/>
  <c r="G81" i="58" s="1"/>
  <c r="H81" i="58" s="1"/>
  <c r="H89" i="58" s="1"/>
  <c r="D17" i="58"/>
  <c r="F22" i="58"/>
  <c r="G56" i="58" s="1"/>
  <c r="F46" i="58"/>
  <c r="E17" i="58"/>
  <c r="G22" i="58"/>
  <c r="H56" i="58" s="1"/>
  <c r="E38" i="58"/>
  <c r="F43" i="58"/>
  <c r="G46" i="58"/>
  <c r="F17" i="58"/>
  <c r="D20" i="58"/>
  <c r="E39" i="58" s="1"/>
  <c r="H22" i="58"/>
  <c r="I56" i="58" s="1"/>
  <c r="F38" i="58"/>
  <c r="H46" i="58"/>
  <c r="E55" i="58"/>
  <c r="G17" i="58"/>
  <c r="E20" i="58"/>
  <c r="F39" i="58" s="1"/>
  <c r="I22" i="58"/>
  <c r="F35" i="58"/>
  <c r="G38" i="58"/>
  <c r="I46" i="58"/>
  <c r="F55" i="58"/>
  <c r="G6" i="58"/>
  <c r="H17" i="58"/>
  <c r="F20" i="58"/>
  <c r="G39" i="58" s="1"/>
  <c r="H38" i="58"/>
  <c r="G15" i="57"/>
  <c r="F5" i="57"/>
  <c r="H15" i="57"/>
  <c r="M11" i="57"/>
  <c r="O15" i="57"/>
  <c r="P15" i="57"/>
  <c r="E15" i="57"/>
  <c r="AB17" i="57"/>
  <c r="AB14" i="57" s="1"/>
  <c r="W17" i="57"/>
  <c r="X17" i="57"/>
  <c r="AH17" i="57"/>
  <c r="AH14" i="57" s="1"/>
  <c r="Z17" i="57"/>
  <c r="Z14" i="57" s="1"/>
  <c r="AD17" i="57"/>
  <c r="AD14" i="57" s="1"/>
  <c r="W28" i="57"/>
  <c r="AI39" i="57"/>
  <c r="F4" i="57"/>
  <c r="AE17" i="57"/>
  <c r="AE14" i="57" s="1"/>
  <c r="W33" i="57"/>
  <c r="AG17" i="57"/>
  <c r="AG14" i="57" s="1"/>
  <c r="AC17" i="57"/>
  <c r="AC14" i="57" s="1"/>
  <c r="AF17" i="57"/>
  <c r="B12" i="57" s="1"/>
  <c r="L12" i="57" s="1"/>
  <c r="AI20" i="57"/>
  <c r="AI59" i="57"/>
  <c r="AI19" i="57"/>
  <c r="Y17" i="57"/>
  <c r="Y14" i="57" s="1"/>
  <c r="AA17" i="57"/>
  <c r="AA14" i="57" s="1"/>
  <c r="AI61" i="57"/>
  <c r="AI74" i="57"/>
  <c r="AI60" i="57"/>
  <c r="W24" i="57"/>
  <c r="AI38" i="57"/>
  <c r="AI57" i="57"/>
  <c r="AI31" i="57"/>
  <c r="AI37" i="57"/>
  <c r="AI48" i="57"/>
  <c r="AI70" i="57"/>
  <c r="AI68" i="57" s="1"/>
  <c r="AI30" i="57"/>
  <c r="AI28" i="57" s="1"/>
  <c r="AI47" i="57"/>
  <c r="AI83" i="57"/>
  <c r="AI45" i="57"/>
  <c r="AI54" i="57"/>
  <c r="AI82" i="57"/>
  <c r="K11" i="57"/>
  <c r="X14" i="57"/>
  <c r="AI35" i="57"/>
  <c r="AI53" i="57"/>
  <c r="AI67" i="57"/>
  <c r="AI66" i="57"/>
  <c r="G11" i="57"/>
  <c r="AI65" i="57"/>
  <c r="AI78" i="57"/>
  <c r="AI64" i="57"/>
  <c r="AI77" i="57"/>
  <c r="AI63" i="57"/>
  <c r="AI52" i="57"/>
  <c r="AI41" i="57"/>
  <c r="AI62" i="57"/>
  <c r="AI76" i="57"/>
  <c r="B11" i="57"/>
  <c r="C11" i="57"/>
  <c r="D11" i="57"/>
  <c r="E11" i="57"/>
  <c r="F11" i="57"/>
  <c r="W50" i="57"/>
  <c r="E4" i="57"/>
  <c r="H11" i="57"/>
  <c r="I11" i="57"/>
  <c r="AI26" i="57"/>
  <c r="AI24" i="57" s="1"/>
  <c r="J11" i="57"/>
  <c r="E5" i="57"/>
  <c r="E50" i="58" l="1"/>
  <c r="I41" i="58"/>
  <c r="H45" i="58"/>
  <c r="F53" i="58"/>
  <c r="F58" i="58" s="1"/>
  <c r="E58" i="58"/>
  <c r="E41" i="58"/>
  <c r="F37" i="58"/>
  <c r="F41" i="58" s="1"/>
  <c r="H54" i="58"/>
  <c r="F89" i="58"/>
  <c r="H53" i="58"/>
  <c r="H58" i="58" s="1"/>
  <c r="H44" i="58"/>
  <c r="G54" i="58"/>
  <c r="I58" i="58"/>
  <c r="G45" i="58"/>
  <c r="G44" i="58"/>
  <c r="G50" i="58" s="1"/>
  <c r="G36" i="58"/>
  <c r="G41" i="58" s="1"/>
  <c r="E89" i="58"/>
  <c r="F45" i="58"/>
  <c r="G53" i="58"/>
  <c r="F44" i="58"/>
  <c r="I50" i="58"/>
  <c r="H36" i="58"/>
  <c r="H41" i="58" s="1"/>
  <c r="H65" i="58" s="1"/>
  <c r="H72" i="58" s="1"/>
  <c r="G89" i="58"/>
  <c r="G35" i="58"/>
  <c r="G43" i="58"/>
  <c r="G52" i="58"/>
  <c r="G27" i="58"/>
  <c r="H6" i="58"/>
  <c r="G15" i="58"/>
  <c r="G60" i="58"/>
  <c r="AI17" i="57"/>
  <c r="AI80" i="57"/>
  <c r="AI50" i="57"/>
  <c r="AI43" i="57"/>
  <c r="AF14" i="57"/>
  <c r="AI72" i="57"/>
  <c r="AI33" i="57"/>
  <c r="W14" i="57"/>
  <c r="L11" i="57"/>
  <c r="M12" i="57" l="1"/>
  <c r="G65" i="58"/>
  <c r="G72" i="58" s="1"/>
  <c r="G94" i="58" s="1"/>
  <c r="H50" i="58"/>
  <c r="G66" i="58" s="1"/>
  <c r="G74" i="58" s="1"/>
  <c r="G58" i="58"/>
  <c r="G75" i="58" s="1"/>
  <c r="G87" i="58" s="1"/>
  <c r="D89" i="58"/>
  <c r="H35" i="58"/>
  <c r="H43" i="58"/>
  <c r="H27" i="58"/>
  <c r="H60" i="58"/>
  <c r="H15" i="58"/>
  <c r="H52" i="58"/>
  <c r="I6" i="58"/>
  <c r="H66" i="58"/>
  <c r="H74" i="58" s="1"/>
  <c r="H94" i="58"/>
  <c r="H85" i="58"/>
  <c r="F50" i="58"/>
  <c r="F65" i="58"/>
  <c r="F72" i="58" s="1"/>
  <c r="H75" i="58"/>
  <c r="E75" i="58"/>
  <c r="E65" i="58"/>
  <c r="AI14" i="57"/>
  <c r="N17" i="38"/>
  <c r="F18" i="14" s="1"/>
  <c r="N23" i="38"/>
  <c r="G18" i="14" s="1"/>
  <c r="N12" i="38"/>
  <c r="E19" i="14" s="1"/>
  <c r="N11" i="38"/>
  <c r="E18" i="14" s="1"/>
  <c r="F11" i="15"/>
  <c r="G86" i="58" l="1"/>
  <c r="G97" i="58"/>
  <c r="G104" i="58" s="1"/>
  <c r="G85" i="58"/>
  <c r="G90" i="58" s="1"/>
  <c r="G99" i="58"/>
  <c r="G78" i="58"/>
  <c r="H10" i="15" s="1"/>
  <c r="F75" i="58"/>
  <c r="F87" i="58" s="1"/>
  <c r="I43" i="58"/>
  <c r="I52" i="58"/>
  <c r="I27" i="58"/>
  <c r="I15" i="58"/>
  <c r="I60" i="58"/>
  <c r="I35" i="58"/>
  <c r="E72" i="58"/>
  <c r="D65" i="58"/>
  <c r="H104" i="58"/>
  <c r="E99" i="58"/>
  <c r="E87" i="58"/>
  <c r="F94" i="58"/>
  <c r="F85" i="58"/>
  <c r="F66" i="58"/>
  <c r="F74" i="58" s="1"/>
  <c r="E66" i="58"/>
  <c r="H87" i="58"/>
  <c r="H99" i="58"/>
  <c r="H97" i="58"/>
  <c r="H86" i="58"/>
  <c r="H90" i="58" s="1"/>
  <c r="H78" i="58"/>
  <c r="E12" i="15"/>
  <c r="D87" i="58" l="1"/>
  <c r="F99" i="58"/>
  <c r="F78" i="58"/>
  <c r="F10" i="15" s="1"/>
  <c r="J10" i="15"/>
  <c r="E85" i="58"/>
  <c r="E94" i="58"/>
  <c r="E74" i="58"/>
  <c r="D66" i="58"/>
  <c r="H67" i="58"/>
  <c r="F67" i="58"/>
  <c r="G67" i="58"/>
  <c r="E67" i="58"/>
  <c r="F97" i="58"/>
  <c r="F86" i="58"/>
  <c r="F90" i="58" s="1"/>
  <c r="C12" i="15"/>
  <c r="G12" i="15"/>
  <c r="I12" i="15"/>
  <c r="F104" i="58" l="1"/>
  <c r="D67" i="58"/>
  <c r="G68" i="58"/>
  <c r="E68" i="58"/>
  <c r="F68" i="58"/>
  <c r="H68" i="58"/>
  <c r="D85" i="58"/>
  <c r="E97" i="58"/>
  <c r="E86" i="58"/>
  <c r="D86" i="58" s="1"/>
  <c r="E78" i="58"/>
  <c r="E104" i="58"/>
  <c r="K12" i="15"/>
  <c r="D10" i="15" l="1"/>
  <c r="D68" i="58"/>
  <c r="E90" i="58"/>
  <c r="D90" i="58" s="1"/>
  <c r="J8" i="54"/>
  <c r="F15" i="54" s="1"/>
  <c r="L8" i="54"/>
  <c r="D35" i="54" s="1"/>
  <c r="D13" i="47" l="1"/>
  <c r="E13" i="47"/>
  <c r="F13" i="47"/>
  <c r="G13" i="47"/>
  <c r="H13" i="47"/>
  <c r="I13" i="47"/>
  <c r="D14" i="47"/>
  <c r="E14" i="47"/>
  <c r="F14" i="47"/>
  <c r="G14" i="47"/>
  <c r="H14" i="47"/>
  <c r="I14" i="47"/>
  <c r="D15" i="47"/>
  <c r="E15" i="47"/>
  <c r="F15" i="47"/>
  <c r="G15" i="47"/>
  <c r="H15" i="47"/>
  <c r="I15" i="47"/>
  <c r="X35" i="54"/>
  <c r="AA41" i="54"/>
  <c r="AA42" i="54"/>
  <c r="AA46" i="54"/>
  <c r="T35" i="54"/>
  <c r="AE47" i="54"/>
  <c r="AB47" i="54"/>
  <c r="U47" i="54"/>
  <c r="S47" i="54"/>
  <c r="T47" i="54" s="1"/>
  <c r="R47" i="54"/>
  <c r="W46" i="54"/>
  <c r="Z46" i="54" s="1"/>
  <c r="V46" i="54"/>
  <c r="T46" i="54"/>
  <c r="AF45" i="54"/>
  <c r="AC45" i="54"/>
  <c r="AA45" i="54" s="1"/>
  <c r="W45" i="54"/>
  <c r="Z45" i="54" s="1"/>
  <c r="V45" i="54"/>
  <c r="T45" i="54"/>
  <c r="AF44" i="54"/>
  <c r="AC44" i="54"/>
  <c r="AA44" i="54" s="1"/>
  <c r="W44" i="54"/>
  <c r="X44" i="54" s="1"/>
  <c r="V44" i="54"/>
  <c r="T44" i="54"/>
  <c r="AF43" i="54"/>
  <c r="AC43" i="54"/>
  <c r="AA43" i="54" s="1"/>
  <c r="W43" i="54"/>
  <c r="Z43" i="54" s="1"/>
  <c r="V43" i="54"/>
  <c r="T43" i="54"/>
  <c r="AF42" i="54"/>
  <c r="AC42" i="54"/>
  <c r="W42" i="54"/>
  <c r="V42" i="54"/>
  <c r="T42" i="54"/>
  <c r="AF41" i="54"/>
  <c r="AC41" i="54"/>
  <c r="Z41" i="54"/>
  <c r="X41" i="54"/>
  <c r="V41" i="54"/>
  <c r="T41" i="54"/>
  <c r="AF40" i="54"/>
  <c r="AD40" i="54" s="1"/>
  <c r="Y40" i="54"/>
  <c r="Y47" i="54" s="1"/>
  <c r="X40" i="54"/>
  <c r="V40" i="54"/>
  <c r="T40" i="54"/>
  <c r="AF39" i="54"/>
  <c r="AD39" i="54" s="1"/>
  <c r="Y39" i="54"/>
  <c r="AC39" i="54" s="1"/>
  <c r="AA39" i="54" s="1"/>
  <c r="X39" i="54"/>
  <c r="V39" i="54"/>
  <c r="T39" i="54"/>
  <c r="AF38" i="54"/>
  <c r="AD38" i="54"/>
  <c r="AC38" i="54"/>
  <c r="AA38" i="54"/>
  <c r="Z38" i="54"/>
  <c r="X38" i="54"/>
  <c r="V38" i="54"/>
  <c r="T38" i="54"/>
  <c r="AF37" i="54"/>
  <c r="AD37" i="54"/>
  <c r="AC37" i="54"/>
  <c r="AA37" i="54"/>
  <c r="Z37" i="54"/>
  <c r="X37" i="54"/>
  <c r="V37" i="54"/>
  <c r="T37" i="54"/>
  <c r="AF36" i="54"/>
  <c r="AD36" i="54"/>
  <c r="AC36" i="54"/>
  <c r="AA36" i="54"/>
  <c r="Z36" i="54"/>
  <c r="X36" i="54"/>
  <c r="V36" i="54"/>
  <c r="T36" i="54"/>
  <c r="AF35" i="54"/>
  <c r="AD35" i="54"/>
  <c r="AC35" i="54"/>
  <c r="AA35" i="54" s="1"/>
  <c r="Z35" i="54"/>
  <c r="V35" i="54"/>
  <c r="V47" i="54" l="1"/>
  <c r="Z44" i="54"/>
  <c r="G9" i="14"/>
  <c r="J12" i="15"/>
  <c r="W47" i="54"/>
  <c r="X47" i="54" s="1"/>
  <c r="F12" i="15"/>
  <c r="E9" i="14"/>
  <c r="Z39" i="54"/>
  <c r="Z42" i="54"/>
  <c r="D9" i="14"/>
  <c r="H12" i="15"/>
  <c r="F9" i="14"/>
  <c r="X45" i="54"/>
  <c r="AF47" i="54"/>
  <c r="Z47" i="54"/>
  <c r="AC47" i="54"/>
  <c r="X46" i="54"/>
  <c r="X42" i="54"/>
  <c r="Z40" i="54"/>
  <c r="AC40" i="54"/>
  <c r="AA40" i="54" s="1"/>
  <c r="X43" i="54"/>
  <c r="F15" i="14" l="1"/>
  <c r="E28" i="14" s="1"/>
  <c r="F16" i="14"/>
  <c r="E15" i="14"/>
  <c r="D28" i="14" s="1"/>
  <c r="E16" i="14"/>
  <c r="D29" i="14" s="1"/>
  <c r="L10" i="15"/>
  <c r="L12" i="15" s="1"/>
  <c r="D12" i="15"/>
  <c r="D15" i="14"/>
  <c r="M33" i="47" l="1"/>
  <c r="M40" i="47"/>
  <c r="N40" i="47"/>
  <c r="M56" i="47"/>
  <c r="N56" i="47"/>
  <c r="N6" i="38" l="1"/>
  <c r="D19" i="14" s="1"/>
  <c r="C29" i="14" s="1"/>
  <c r="N5" i="38"/>
  <c r="D18" i="14" l="1"/>
  <c r="D36" i="54"/>
  <c r="H14" i="54"/>
  <c r="D17" i="54" s="1"/>
  <c r="H17" i="54" s="1"/>
  <c r="D20" i="54" s="1"/>
  <c r="H20" i="54" s="1"/>
  <c r="E35" i="54"/>
  <c r="C28" i="14" l="1"/>
  <c r="C18" i="14"/>
  <c r="L20" i="54"/>
  <c r="E36" i="54"/>
  <c r="E38" i="54" s="1"/>
  <c r="F14" i="54"/>
  <c r="C111" i="51" l="1"/>
  <c r="I95" i="51"/>
  <c r="I94" i="51"/>
  <c r="I93" i="51" s="1"/>
  <c r="I92" i="51"/>
  <c r="AH90" i="51"/>
  <c r="AG90" i="51"/>
  <c r="AF90" i="51"/>
  <c r="AE90" i="51"/>
  <c r="AD90" i="51"/>
  <c r="I87" i="51"/>
  <c r="AD86" i="51"/>
  <c r="E84" i="51"/>
  <c r="F102" i="51" s="1"/>
  <c r="AN58" i="51"/>
  <c r="AM58" i="51"/>
  <c r="AL58" i="51"/>
  <c r="AK58" i="51"/>
  <c r="AJ58" i="51"/>
  <c r="AI58" i="51"/>
  <c r="AH58" i="51"/>
  <c r="AG58" i="51"/>
  <c r="AF58" i="51"/>
  <c r="AE58" i="51"/>
  <c r="N56" i="51"/>
  <c r="AN56" i="51" s="1"/>
  <c r="M56" i="51"/>
  <c r="L56" i="51"/>
  <c r="AL56" i="51" s="1"/>
  <c r="K56" i="51"/>
  <c r="AK56" i="51" s="1"/>
  <c r="J56" i="51"/>
  <c r="AJ56" i="51" s="1"/>
  <c r="I56" i="51"/>
  <c r="AI56" i="51" s="1"/>
  <c r="H56" i="51"/>
  <c r="AH56" i="51" s="1"/>
  <c r="G56" i="51"/>
  <c r="F56" i="51"/>
  <c r="E56" i="51"/>
  <c r="AN54" i="51"/>
  <c r="AM54" i="51"/>
  <c r="AL54" i="51"/>
  <c r="AK54" i="51"/>
  <c r="AJ54" i="51"/>
  <c r="AI54" i="51"/>
  <c r="AH54" i="51"/>
  <c r="AG54" i="51"/>
  <c r="AF54" i="51"/>
  <c r="AE54" i="51"/>
  <c r="AN48" i="51"/>
  <c r="AM48" i="51"/>
  <c r="J43" i="51"/>
  <c r="I43" i="51"/>
  <c r="H43" i="51"/>
  <c r="G43" i="51"/>
  <c r="F43" i="51"/>
  <c r="E43" i="51"/>
  <c r="E70" i="51" s="1"/>
  <c r="AE70" i="51" s="1"/>
  <c r="AN41" i="51"/>
  <c r="AM41" i="51"/>
  <c r="AJ41" i="51"/>
  <c r="AI41" i="51"/>
  <c r="AH41" i="51"/>
  <c r="AG41" i="51"/>
  <c r="AE41" i="51"/>
  <c r="L41" i="51"/>
  <c r="AL41" i="51" s="1"/>
  <c r="K41" i="51"/>
  <c r="AK41" i="51" s="1"/>
  <c r="F41" i="51"/>
  <c r="AF41" i="51" s="1"/>
  <c r="AJ40" i="51"/>
  <c r="AF40" i="51"/>
  <c r="N40" i="51"/>
  <c r="AN40" i="51" s="1"/>
  <c r="M40" i="51"/>
  <c r="AM40" i="51" s="1"/>
  <c r="L40" i="51"/>
  <c r="AL40" i="51" s="1"/>
  <c r="K40" i="51"/>
  <c r="AK40" i="51" s="1"/>
  <c r="J40" i="51"/>
  <c r="I40" i="51"/>
  <c r="AI40" i="51" s="1"/>
  <c r="H40" i="51"/>
  <c r="AH40" i="51" s="1"/>
  <c r="G40" i="51"/>
  <c r="AG40" i="51" s="1"/>
  <c r="F40" i="51"/>
  <c r="E40" i="51"/>
  <c r="AE40" i="51" s="1"/>
  <c r="M33" i="51"/>
  <c r="K33" i="51"/>
  <c r="I33" i="51"/>
  <c r="G33" i="51"/>
  <c r="AD31" i="51"/>
  <c r="I31" i="51"/>
  <c r="N52" i="51" s="1"/>
  <c r="AN52" i="51" s="1"/>
  <c r="H31" i="51"/>
  <c r="L52" i="51" s="1"/>
  <c r="AL52" i="51" s="1"/>
  <c r="G31" i="51"/>
  <c r="J52" i="51" s="1"/>
  <c r="AJ52" i="51" s="1"/>
  <c r="F31" i="51"/>
  <c r="H52" i="51" s="1"/>
  <c r="AH52" i="51" s="1"/>
  <c r="E31" i="51"/>
  <c r="F52" i="51" s="1"/>
  <c r="AF52" i="51" s="1"/>
  <c r="AD30" i="51"/>
  <c r="I30" i="51"/>
  <c r="M52" i="51" s="1"/>
  <c r="AM52" i="51" s="1"/>
  <c r="H30" i="51"/>
  <c r="AH30" i="51" s="1"/>
  <c r="G30" i="51"/>
  <c r="I52" i="51" s="1"/>
  <c r="AI52" i="51" s="1"/>
  <c r="F30" i="51"/>
  <c r="G52" i="51" s="1"/>
  <c r="AG52" i="51" s="1"/>
  <c r="E30" i="51"/>
  <c r="E52" i="51" s="1"/>
  <c r="AE52" i="51" s="1"/>
  <c r="AD29" i="51"/>
  <c r="I29" i="51"/>
  <c r="N46" i="51" s="1"/>
  <c r="AN46" i="51" s="1"/>
  <c r="H29" i="51"/>
  <c r="AH29" i="51" s="1"/>
  <c r="G29" i="51"/>
  <c r="AG29" i="51" s="1"/>
  <c r="F29" i="51"/>
  <c r="AF29" i="51" s="1"/>
  <c r="E29" i="51"/>
  <c r="AE29" i="51" s="1"/>
  <c r="AD28" i="51"/>
  <c r="I28" i="51"/>
  <c r="M46" i="51" s="1"/>
  <c r="AM46" i="51" s="1"/>
  <c r="H28" i="51"/>
  <c r="AH28" i="51" s="1"/>
  <c r="G28" i="51"/>
  <c r="AG28" i="51" s="1"/>
  <c r="F28" i="51"/>
  <c r="AF28" i="51" s="1"/>
  <c r="E28" i="51"/>
  <c r="AE28" i="51" s="1"/>
  <c r="AD27" i="51"/>
  <c r="I27" i="51"/>
  <c r="H27" i="51"/>
  <c r="L38" i="51" s="1"/>
  <c r="AL38" i="51" s="1"/>
  <c r="G27" i="51"/>
  <c r="F27" i="51"/>
  <c r="AF27" i="51" s="1"/>
  <c r="E27" i="51"/>
  <c r="F38" i="51" s="1"/>
  <c r="AF38" i="51" s="1"/>
  <c r="AD26" i="51"/>
  <c r="I26" i="51"/>
  <c r="M38" i="51" s="1"/>
  <c r="AM38" i="51" s="1"/>
  <c r="H26" i="51"/>
  <c r="K38" i="51" s="1"/>
  <c r="AK38" i="51" s="1"/>
  <c r="G26" i="51"/>
  <c r="I38" i="51" s="1"/>
  <c r="AI38" i="51" s="1"/>
  <c r="F26" i="51"/>
  <c r="G38" i="51" s="1"/>
  <c r="AG38" i="51" s="1"/>
  <c r="E26" i="51"/>
  <c r="E38" i="51" s="1"/>
  <c r="AE38" i="51" s="1"/>
  <c r="AI25" i="51"/>
  <c r="AH25" i="51"/>
  <c r="AG25" i="51"/>
  <c r="AF25" i="51"/>
  <c r="AE25" i="51"/>
  <c r="AD25" i="51"/>
  <c r="AI24" i="51"/>
  <c r="AH24" i="51"/>
  <c r="AG24" i="51"/>
  <c r="AF24" i="51"/>
  <c r="G51" i="51"/>
  <c r="AG51" i="51" s="1"/>
  <c r="AG23" i="51"/>
  <c r="AF23" i="51"/>
  <c r="AE23" i="51"/>
  <c r="AD23" i="51"/>
  <c r="AI23" i="51"/>
  <c r="AH23" i="51"/>
  <c r="AI22" i="51"/>
  <c r="AH22" i="51"/>
  <c r="AG22" i="51"/>
  <c r="AF22" i="51"/>
  <c r="AE22" i="51"/>
  <c r="I20" i="51"/>
  <c r="AI20" i="51" s="1"/>
  <c r="H20" i="51"/>
  <c r="N57" i="51" s="1"/>
  <c r="G20" i="51"/>
  <c r="F20" i="51"/>
  <c r="J57" i="51" s="1"/>
  <c r="E20" i="51"/>
  <c r="D20" i="51"/>
  <c r="F57" i="51" s="1"/>
  <c r="I19" i="51"/>
  <c r="AI19" i="51" s="1"/>
  <c r="H19" i="51"/>
  <c r="AH19" i="51" s="1"/>
  <c r="G19" i="51"/>
  <c r="F19" i="51"/>
  <c r="AF19" i="51" s="1"/>
  <c r="E19" i="51"/>
  <c r="D19" i="51"/>
  <c r="AD19" i="51" s="1"/>
  <c r="I18" i="51"/>
  <c r="AI18" i="51" s="1"/>
  <c r="H18" i="51"/>
  <c r="AH18" i="51" s="1"/>
  <c r="G18" i="51"/>
  <c r="AG18" i="51" s="1"/>
  <c r="F18" i="51"/>
  <c r="AF18" i="51" s="1"/>
  <c r="E18" i="51"/>
  <c r="AE18" i="51" s="1"/>
  <c r="D18" i="51"/>
  <c r="AD18" i="51" s="1"/>
  <c r="I17" i="51"/>
  <c r="AI17" i="51" s="1"/>
  <c r="H17" i="51"/>
  <c r="G17" i="51"/>
  <c r="F17" i="51"/>
  <c r="I39" i="51" s="1"/>
  <c r="AI39" i="51" s="1"/>
  <c r="E17" i="51"/>
  <c r="D17" i="51"/>
  <c r="I16" i="51"/>
  <c r="AI16" i="51" s="1"/>
  <c r="H16" i="51"/>
  <c r="AH16" i="51" s="1"/>
  <c r="G16" i="51"/>
  <c r="AG16" i="51" s="1"/>
  <c r="F16" i="51"/>
  <c r="AF16" i="51" s="1"/>
  <c r="E16" i="51"/>
  <c r="AE16" i="51" s="1"/>
  <c r="D16" i="51"/>
  <c r="AD16" i="51" s="1"/>
  <c r="I15" i="51"/>
  <c r="AI15" i="51" s="1"/>
  <c r="H15" i="51"/>
  <c r="AH15" i="51" s="1"/>
  <c r="G15" i="51"/>
  <c r="AG15" i="51" s="1"/>
  <c r="F15" i="51"/>
  <c r="AF15" i="51" s="1"/>
  <c r="E15" i="51"/>
  <c r="AE15" i="51" s="1"/>
  <c r="D15" i="51"/>
  <c r="AD15" i="51" s="1"/>
  <c r="I14" i="51"/>
  <c r="AI14" i="51" s="1"/>
  <c r="H14" i="51"/>
  <c r="AH14" i="51" s="1"/>
  <c r="G14" i="51"/>
  <c r="AG14" i="51" s="1"/>
  <c r="F14" i="51"/>
  <c r="AF14" i="51" s="1"/>
  <c r="E14" i="51"/>
  <c r="AE14" i="51" s="1"/>
  <c r="D14" i="51"/>
  <c r="AD14" i="51" s="1"/>
  <c r="I13" i="51"/>
  <c r="AI13" i="51" s="1"/>
  <c r="H13" i="51"/>
  <c r="AH13" i="51" s="1"/>
  <c r="G13" i="51"/>
  <c r="AG13" i="51" s="1"/>
  <c r="F13" i="51"/>
  <c r="AF13" i="51" s="1"/>
  <c r="E13" i="51"/>
  <c r="AE13" i="51" s="1"/>
  <c r="D13" i="51"/>
  <c r="AD13" i="51" s="1"/>
  <c r="G70" i="51" l="1"/>
  <c r="AG70" i="51" s="1"/>
  <c r="F73" i="51"/>
  <c r="AF73" i="51" s="1"/>
  <c r="I96" i="51"/>
  <c r="F70" i="51"/>
  <c r="AF70" i="51" s="1"/>
  <c r="J36" i="51"/>
  <c r="AJ36" i="51" s="1"/>
  <c r="H53" i="51"/>
  <c r="AH53" i="51" s="1"/>
  <c r="AF26" i="51"/>
  <c r="AF30" i="51"/>
  <c r="E50" i="51"/>
  <c r="AE50" i="51" s="1"/>
  <c r="AF17" i="51"/>
  <c r="J39" i="51"/>
  <c r="AJ39" i="51" s="1"/>
  <c r="AG56" i="51"/>
  <c r="E57" i="51"/>
  <c r="AE57" i="51" s="1"/>
  <c r="H73" i="51"/>
  <c r="AH73" i="51" s="1"/>
  <c r="AF20" i="51"/>
  <c r="M57" i="51"/>
  <c r="AM57" i="51" s="1"/>
  <c r="E39" i="51"/>
  <c r="AE39" i="51" s="1"/>
  <c r="M39" i="51"/>
  <c r="AM39" i="51" s="1"/>
  <c r="E37" i="51"/>
  <c r="AE37" i="51" s="1"/>
  <c r="N39" i="51"/>
  <c r="AN39" i="51" s="1"/>
  <c r="AE31" i="51"/>
  <c r="G81" i="51"/>
  <c r="G39" i="51"/>
  <c r="AG39" i="51" s="1"/>
  <c r="H39" i="51"/>
  <c r="AH39" i="51" s="1"/>
  <c r="L57" i="51"/>
  <c r="K57" i="51"/>
  <c r="AE27" i="51"/>
  <c r="AI31" i="51"/>
  <c r="H36" i="51"/>
  <c r="J38" i="51"/>
  <c r="AJ38" i="51" s="1"/>
  <c r="F39" i="51"/>
  <c r="AF39" i="51" s="1"/>
  <c r="G50" i="51"/>
  <c r="G73" i="51"/>
  <c r="AG73" i="51" s="1"/>
  <c r="G36" i="51"/>
  <c r="J51" i="51"/>
  <c r="AJ51" i="51" s="1"/>
  <c r="I37" i="51"/>
  <c r="AI37" i="51" s="1"/>
  <c r="I51" i="51"/>
  <c r="AI51" i="51" s="1"/>
  <c r="AE17" i="51"/>
  <c r="AE19" i="51"/>
  <c r="AG20" i="51"/>
  <c r="AE24" i="51"/>
  <c r="AH26" i="51"/>
  <c r="AG27" i="51"/>
  <c r="N38" i="51"/>
  <c r="AN38" i="51" s="1"/>
  <c r="K52" i="51"/>
  <c r="AK52" i="51" s="1"/>
  <c r="J50" i="51"/>
  <c r="I50" i="51"/>
  <c r="I36" i="51"/>
  <c r="K39" i="51"/>
  <c r="AK39" i="51" s="1"/>
  <c r="L39" i="51"/>
  <c r="AL39" i="51" s="1"/>
  <c r="L53" i="51"/>
  <c r="AL53" i="51" s="1"/>
  <c r="K53" i="51"/>
  <c r="AK53" i="51" s="1"/>
  <c r="H57" i="51"/>
  <c r="G57" i="51"/>
  <c r="AI27" i="51"/>
  <c r="F37" i="51"/>
  <c r="AF37" i="51" s="1"/>
  <c r="E73" i="51"/>
  <c r="AE73" i="51" s="1"/>
  <c r="AE56" i="51"/>
  <c r="I73" i="51"/>
  <c r="AI73" i="51" s="1"/>
  <c r="AM56" i="51"/>
  <c r="H81" i="51"/>
  <c r="AG17" i="51"/>
  <c r="AG19" i="51"/>
  <c r="AE20" i="51"/>
  <c r="AI29" i="51"/>
  <c r="AG31" i="51"/>
  <c r="F36" i="51"/>
  <c r="J37" i="51"/>
  <c r="AJ37" i="51" s="1"/>
  <c r="G53" i="51"/>
  <c r="AG53" i="51" s="1"/>
  <c r="AD17" i="51"/>
  <c r="AH17" i="51"/>
  <c r="J53" i="51"/>
  <c r="AJ53" i="51" s="1"/>
  <c r="I53" i="51"/>
  <c r="AI53" i="51" s="1"/>
  <c r="AJ57" i="51"/>
  <c r="J55" i="51"/>
  <c r="AD20" i="51"/>
  <c r="AH20" i="51"/>
  <c r="AD22" i="51"/>
  <c r="AD24" i="51"/>
  <c r="AG26" i="51"/>
  <c r="AH27" i="51"/>
  <c r="AI28" i="51"/>
  <c r="AG30" i="51"/>
  <c r="AH31" i="51"/>
  <c r="H38" i="51"/>
  <c r="AH38" i="51" s="1"/>
  <c r="H50" i="51"/>
  <c r="H51" i="51"/>
  <c r="AH51" i="51" s="1"/>
  <c r="G37" i="51"/>
  <c r="AG37" i="51" s="1"/>
  <c r="N47" i="51"/>
  <c r="AN47" i="51" s="1"/>
  <c r="F53" i="51"/>
  <c r="AF53" i="51" s="1"/>
  <c r="E53" i="51"/>
  <c r="AE53" i="51" s="1"/>
  <c r="N53" i="51"/>
  <c r="AN53" i="51" s="1"/>
  <c r="M53" i="51"/>
  <c r="AM53" i="51" s="1"/>
  <c r="AF57" i="51"/>
  <c r="F55" i="51"/>
  <c r="AN57" i="51"/>
  <c r="N55" i="51"/>
  <c r="AN55" i="51" s="1"/>
  <c r="F51" i="51"/>
  <c r="AF51" i="51" s="1"/>
  <c r="F50" i="51"/>
  <c r="AE26" i="51"/>
  <c r="AI26" i="51"/>
  <c r="AE30" i="51"/>
  <c r="AI30" i="51"/>
  <c r="AF31" i="51"/>
  <c r="E36" i="51"/>
  <c r="H37" i="51"/>
  <c r="AH37" i="51" s="1"/>
  <c r="M47" i="51"/>
  <c r="AM47" i="51" s="1"/>
  <c r="E51" i="51"/>
  <c r="AE51" i="51" s="1"/>
  <c r="I57" i="51"/>
  <c r="F78" i="51"/>
  <c r="AF56" i="51"/>
  <c r="E81" i="51"/>
  <c r="E78" i="51"/>
  <c r="F81" i="51"/>
  <c r="F84" i="51"/>
  <c r="I74" i="51" l="1"/>
  <c r="AI74" i="51" s="1"/>
  <c r="AG81" i="51"/>
  <c r="M55" i="51"/>
  <c r="AM55" i="51" s="1"/>
  <c r="AH81" i="51"/>
  <c r="E55" i="51"/>
  <c r="E72" i="51" s="1"/>
  <c r="AE72" i="51" s="1"/>
  <c r="E74" i="51"/>
  <c r="AE74" i="51" s="1"/>
  <c r="AF81" i="51"/>
  <c r="AE78" i="51"/>
  <c r="E91" i="51"/>
  <c r="G74" i="51"/>
  <c r="AG74" i="51" s="1"/>
  <c r="AI57" i="51"/>
  <c r="AE36" i="51"/>
  <c r="E35" i="51"/>
  <c r="H49" i="51"/>
  <c r="AH50" i="51"/>
  <c r="H108" i="51"/>
  <c r="AF36" i="51"/>
  <c r="F35" i="51"/>
  <c r="G55" i="51"/>
  <c r="F74" i="51"/>
  <c r="AF74" i="51" s="1"/>
  <c r="AG57" i="51"/>
  <c r="I49" i="51"/>
  <c r="AI50" i="51"/>
  <c r="AG50" i="51"/>
  <c r="G49" i="51"/>
  <c r="G102" i="51"/>
  <c r="G84" i="51"/>
  <c r="F94" i="51"/>
  <c r="AE81" i="51"/>
  <c r="E94" i="51"/>
  <c r="F82" i="51"/>
  <c r="H55" i="51"/>
  <c r="AH57" i="51"/>
  <c r="AJ50" i="51"/>
  <c r="J49" i="51"/>
  <c r="AF50" i="51"/>
  <c r="G108" i="51"/>
  <c r="F49" i="51"/>
  <c r="AF55" i="51"/>
  <c r="L50" i="51"/>
  <c r="L44" i="51"/>
  <c r="K44" i="51"/>
  <c r="K36" i="51"/>
  <c r="L36" i="51"/>
  <c r="K50" i="51"/>
  <c r="L51" i="51"/>
  <c r="AL51" i="51" s="1"/>
  <c r="K37" i="51"/>
  <c r="AK37" i="51" s="1"/>
  <c r="L45" i="51"/>
  <c r="L37" i="51"/>
  <c r="AL37" i="51" s="1"/>
  <c r="K51" i="51"/>
  <c r="AK51" i="51" s="1"/>
  <c r="K45" i="51"/>
  <c r="AG36" i="51"/>
  <c r="G35" i="51"/>
  <c r="H74" i="51"/>
  <c r="AH74" i="51" s="1"/>
  <c r="K55" i="51"/>
  <c r="G80" i="51" s="1"/>
  <c r="AG80" i="51" s="1"/>
  <c r="G82" i="51"/>
  <c r="AK57" i="51"/>
  <c r="J35" i="51"/>
  <c r="AF78" i="51"/>
  <c r="F91" i="51"/>
  <c r="AF91" i="51" s="1"/>
  <c r="E82" i="51"/>
  <c r="AJ55" i="51"/>
  <c r="E49" i="51"/>
  <c r="AI36" i="51"/>
  <c r="I35" i="51"/>
  <c r="I55" i="51"/>
  <c r="H35" i="51"/>
  <c r="AH36" i="51"/>
  <c r="L55" i="51"/>
  <c r="H82" i="51"/>
  <c r="AL57" i="51"/>
  <c r="G16" i="14" l="1"/>
  <c r="G15" i="14"/>
  <c r="F28" i="14" s="1"/>
  <c r="I72" i="51"/>
  <c r="AI72" i="51" s="1"/>
  <c r="AE55" i="51"/>
  <c r="AH82" i="51"/>
  <c r="F95" i="51"/>
  <c r="AF95" i="51" s="1"/>
  <c r="AG82" i="51"/>
  <c r="K43" i="51"/>
  <c r="G78" i="51" s="1"/>
  <c r="AF82" i="51"/>
  <c r="H80" i="51"/>
  <c r="AH80" i="51" s="1"/>
  <c r="AL55" i="51"/>
  <c r="F77" i="51"/>
  <c r="H59" i="51"/>
  <c r="AH59" i="51" s="1"/>
  <c r="AH35" i="51"/>
  <c r="E71" i="51"/>
  <c r="AE71" i="51" s="1"/>
  <c r="AE49" i="51"/>
  <c r="AK50" i="51"/>
  <c r="K49" i="51"/>
  <c r="G79" i="51" s="1"/>
  <c r="AJ49" i="51"/>
  <c r="F80" i="51"/>
  <c r="AF80" i="51" s="1"/>
  <c r="AH55" i="51"/>
  <c r="F72" i="51"/>
  <c r="AF72" i="51" s="1"/>
  <c r="AG55" i="51"/>
  <c r="G72" i="51"/>
  <c r="AG72" i="51" s="1"/>
  <c r="AI55" i="51"/>
  <c r="H72" i="51"/>
  <c r="AH72" i="51" s="1"/>
  <c r="AK55" i="51"/>
  <c r="AL36" i="51"/>
  <c r="L35" i="51"/>
  <c r="L43" i="51"/>
  <c r="E79" i="51"/>
  <c r="AF49" i="51"/>
  <c r="AF94" i="51"/>
  <c r="G71" i="51"/>
  <c r="AG71" i="51" s="1"/>
  <c r="AI49" i="51"/>
  <c r="F59" i="51"/>
  <c r="AF59" i="51" s="1"/>
  <c r="E77" i="51"/>
  <c r="AF35" i="51"/>
  <c r="F79" i="51"/>
  <c r="AH49" i="51"/>
  <c r="I59" i="51"/>
  <c r="AI59" i="51" s="1"/>
  <c r="AI35" i="51"/>
  <c r="G69" i="51"/>
  <c r="AG69" i="51" s="1"/>
  <c r="J59" i="51"/>
  <c r="AJ59" i="51" s="1"/>
  <c r="AJ35" i="51"/>
  <c r="N45" i="51"/>
  <c r="AN45" i="51" s="1"/>
  <c r="N51" i="51"/>
  <c r="AN51" i="51" s="1"/>
  <c r="M37" i="51"/>
  <c r="AM37" i="51" s="1"/>
  <c r="M51" i="51"/>
  <c r="AM51" i="51" s="1"/>
  <c r="M45" i="51"/>
  <c r="AM45" i="51" s="1"/>
  <c r="N37" i="51"/>
  <c r="AN37" i="51" s="1"/>
  <c r="N50" i="51"/>
  <c r="N44" i="51"/>
  <c r="M36" i="51"/>
  <c r="M50" i="51"/>
  <c r="N36" i="51"/>
  <c r="M44" i="51"/>
  <c r="L49" i="51"/>
  <c r="AL50" i="51"/>
  <c r="I108" i="51"/>
  <c r="AE94" i="51"/>
  <c r="H102" i="51"/>
  <c r="G94" i="51"/>
  <c r="G95" i="51"/>
  <c r="AG95" i="51" s="1"/>
  <c r="H84" i="51"/>
  <c r="F71" i="51"/>
  <c r="AF71" i="51" s="1"/>
  <c r="AG49" i="51"/>
  <c r="E69" i="51"/>
  <c r="AE69" i="51" s="1"/>
  <c r="E59" i="51"/>
  <c r="AE59" i="51" s="1"/>
  <c r="AE35" i="51"/>
  <c r="AE91" i="51"/>
  <c r="AE82" i="51"/>
  <c r="E95" i="51"/>
  <c r="F69" i="51"/>
  <c r="AF69" i="51" s="1"/>
  <c r="AG35" i="51"/>
  <c r="G59" i="51"/>
  <c r="AG59" i="51" s="1"/>
  <c r="AK36" i="51"/>
  <c r="K35" i="51"/>
  <c r="G77" i="51" s="1"/>
  <c r="E80" i="51"/>
  <c r="AE80" i="51" s="1"/>
  <c r="F93" i="51" l="1"/>
  <c r="AF93" i="51" s="1"/>
  <c r="J108" i="51"/>
  <c r="AG79" i="51"/>
  <c r="G92" i="51"/>
  <c r="AG92" i="51" s="1"/>
  <c r="AG77" i="51"/>
  <c r="G87" i="51"/>
  <c r="G89" i="51" s="1"/>
  <c r="AG89" i="51" s="1"/>
  <c r="AE95" i="51"/>
  <c r="AN36" i="51"/>
  <c r="N35" i="51"/>
  <c r="AN50" i="51"/>
  <c r="N49" i="51"/>
  <c r="AN49" i="51" s="1"/>
  <c r="AE77" i="51"/>
  <c r="E87" i="51"/>
  <c r="H94" i="51"/>
  <c r="D94" i="51" s="1"/>
  <c r="AD94" i="51" s="1"/>
  <c r="H95" i="51"/>
  <c r="AH95" i="51" s="1"/>
  <c r="I102" i="51"/>
  <c r="G93" i="51"/>
  <c r="AG93" i="51" s="1"/>
  <c r="AG94" i="51"/>
  <c r="AL49" i="51"/>
  <c r="M49" i="51"/>
  <c r="H79" i="51" s="1"/>
  <c r="AM50" i="51"/>
  <c r="L59" i="51"/>
  <c r="AL59" i="51" s="1"/>
  <c r="AL35" i="51"/>
  <c r="G91" i="51"/>
  <c r="AG78" i="51"/>
  <c r="AF77" i="51"/>
  <c r="F87" i="51"/>
  <c r="AM36" i="51"/>
  <c r="M35" i="51"/>
  <c r="AF79" i="51"/>
  <c r="F92" i="51"/>
  <c r="AF92" i="51" s="1"/>
  <c r="H70" i="51"/>
  <c r="AH70" i="51" s="1"/>
  <c r="H69" i="51"/>
  <c r="AH69" i="51" s="1"/>
  <c r="AK35" i="51"/>
  <c r="K59" i="51"/>
  <c r="AK59" i="51" s="1"/>
  <c r="E93" i="51"/>
  <c r="AM44" i="51"/>
  <c r="M43" i="51"/>
  <c r="AN44" i="51"/>
  <c r="N43" i="51"/>
  <c r="AN43" i="51" s="1"/>
  <c r="AE79" i="51"/>
  <c r="E92" i="51"/>
  <c r="H71" i="51"/>
  <c r="AH71" i="51" s="1"/>
  <c r="AK49" i="51"/>
  <c r="C104" i="51" l="1"/>
  <c r="AG87" i="51"/>
  <c r="G88" i="51"/>
  <c r="AG88" i="51" s="1"/>
  <c r="D95" i="51"/>
  <c r="AD95" i="51" s="1"/>
  <c r="AH79" i="51"/>
  <c r="H92" i="51"/>
  <c r="AH92" i="51" s="1"/>
  <c r="AE93" i="51"/>
  <c r="AE92" i="51"/>
  <c r="I70" i="51"/>
  <c r="AI70" i="51" s="1"/>
  <c r="AM43" i="51"/>
  <c r="I69" i="51"/>
  <c r="AI69" i="51" s="1"/>
  <c r="M59" i="51"/>
  <c r="AM59" i="51" s="1"/>
  <c r="AM35" i="51"/>
  <c r="H77" i="51"/>
  <c r="AH94" i="51"/>
  <c r="H93" i="51"/>
  <c r="AH93" i="51" s="1"/>
  <c r="AG91" i="51"/>
  <c r="H78" i="51"/>
  <c r="F96" i="51"/>
  <c r="AF96" i="51" s="1"/>
  <c r="AF87" i="51"/>
  <c r="F89" i="51"/>
  <c r="AF89" i="51" s="1"/>
  <c r="F88" i="51"/>
  <c r="AF88" i="51" s="1"/>
  <c r="I71" i="51"/>
  <c r="AI71" i="51" s="1"/>
  <c r="AM49" i="51"/>
  <c r="E88" i="51"/>
  <c r="E96" i="51"/>
  <c r="AE96" i="51" s="1"/>
  <c r="AE87" i="51"/>
  <c r="E89" i="51"/>
  <c r="N59" i="51"/>
  <c r="AN59" i="51" s="1"/>
  <c r="AN35" i="51"/>
  <c r="G96" i="51"/>
  <c r="AG96" i="51" s="1"/>
  <c r="D92" i="51" l="1"/>
  <c r="AD92" i="51" s="1"/>
  <c r="AE89" i="51"/>
  <c r="AE88" i="51"/>
  <c r="AH77" i="51"/>
  <c r="H87" i="51"/>
  <c r="D93" i="51"/>
  <c r="AD93" i="51" s="1"/>
  <c r="H91" i="51"/>
  <c r="AH78" i="51"/>
  <c r="C103" i="51" l="1"/>
  <c r="C105" i="51" s="1"/>
  <c r="AH91" i="51"/>
  <c r="D91" i="51"/>
  <c r="AD91" i="51" s="1"/>
  <c r="H88" i="51"/>
  <c r="AH87" i="51"/>
  <c r="H89" i="51"/>
  <c r="H96" i="51"/>
  <c r="AH96" i="51" s="1"/>
  <c r="D87" i="51"/>
  <c r="AD87" i="51" l="1"/>
  <c r="D96" i="51"/>
  <c r="AH88" i="51"/>
  <c r="D88" i="51"/>
  <c r="AD88" i="51" s="1"/>
  <c r="AH89" i="51"/>
  <c r="D89" i="51"/>
  <c r="AD89" i="51" s="1"/>
  <c r="AD96" i="51" l="1"/>
  <c r="Q99" i="51"/>
  <c r="D14" i="49" l="1"/>
  <c r="D15" i="49" s="1"/>
  <c r="C111" i="47" l="1"/>
  <c r="I95" i="47"/>
  <c r="I94" i="47"/>
  <c r="I93" i="47" s="1"/>
  <c r="I92" i="47"/>
  <c r="I87" i="47"/>
  <c r="E84" i="47"/>
  <c r="F102" i="47" s="1"/>
  <c r="I73" i="47"/>
  <c r="L56" i="47"/>
  <c r="K56" i="47"/>
  <c r="J56" i="47"/>
  <c r="I56" i="47"/>
  <c r="H56" i="47"/>
  <c r="G56" i="47"/>
  <c r="F56" i="47"/>
  <c r="E56" i="47"/>
  <c r="E73" i="47" s="1"/>
  <c r="J43" i="47"/>
  <c r="I43" i="47"/>
  <c r="H43" i="47"/>
  <c r="G43" i="47"/>
  <c r="F43" i="47"/>
  <c r="E43" i="47"/>
  <c r="L41" i="47"/>
  <c r="K41" i="47"/>
  <c r="F41" i="47"/>
  <c r="L40" i="47"/>
  <c r="K40" i="47"/>
  <c r="J40" i="47"/>
  <c r="I40" i="47"/>
  <c r="H40" i="47"/>
  <c r="G40" i="47"/>
  <c r="F40" i="47"/>
  <c r="E40" i="47"/>
  <c r="K33" i="47"/>
  <c r="I33" i="47"/>
  <c r="G33" i="47"/>
  <c r="I31" i="47"/>
  <c r="N52" i="47" s="1"/>
  <c r="H31" i="47"/>
  <c r="L52" i="47" s="1"/>
  <c r="G31" i="47"/>
  <c r="J52" i="47" s="1"/>
  <c r="F31" i="47"/>
  <c r="H52" i="47" s="1"/>
  <c r="E31" i="47"/>
  <c r="F52" i="47" s="1"/>
  <c r="I30" i="47"/>
  <c r="M52" i="47" s="1"/>
  <c r="H30" i="47"/>
  <c r="K52" i="47" s="1"/>
  <c r="G30" i="47"/>
  <c r="I52" i="47" s="1"/>
  <c r="F30" i="47"/>
  <c r="G52" i="47" s="1"/>
  <c r="E30" i="47"/>
  <c r="E52" i="47" s="1"/>
  <c r="I29" i="47"/>
  <c r="N46" i="47" s="1"/>
  <c r="H29" i="47"/>
  <c r="G29" i="47"/>
  <c r="F29" i="47"/>
  <c r="E29" i="47"/>
  <c r="I28" i="47"/>
  <c r="M46" i="47" s="1"/>
  <c r="H28" i="47"/>
  <c r="G28" i="47"/>
  <c r="F28" i="47"/>
  <c r="E28" i="47"/>
  <c r="I27" i="47"/>
  <c r="N38" i="47" s="1"/>
  <c r="H27" i="47"/>
  <c r="L38" i="47" s="1"/>
  <c r="G27" i="47"/>
  <c r="F27" i="47"/>
  <c r="H38" i="47" s="1"/>
  <c r="E27" i="47"/>
  <c r="F38" i="47" s="1"/>
  <c r="I26" i="47"/>
  <c r="M38" i="47" s="1"/>
  <c r="H26" i="47"/>
  <c r="K38" i="47" s="1"/>
  <c r="G26" i="47"/>
  <c r="I38" i="47" s="1"/>
  <c r="F26" i="47"/>
  <c r="G38" i="47" s="1"/>
  <c r="E26" i="47"/>
  <c r="E38" i="47" s="1"/>
  <c r="I24" i="47"/>
  <c r="H24" i="47"/>
  <c r="G24" i="47"/>
  <c r="F24" i="47"/>
  <c r="E24" i="47"/>
  <c r="D24" i="47"/>
  <c r="I23" i="47"/>
  <c r="H23" i="47"/>
  <c r="I22" i="47"/>
  <c r="H22" i="47"/>
  <c r="G22" i="47"/>
  <c r="F22" i="47"/>
  <c r="E22" i="47"/>
  <c r="D22" i="47"/>
  <c r="I20" i="47"/>
  <c r="H20" i="47"/>
  <c r="G20" i="47"/>
  <c r="L57" i="47" s="1"/>
  <c r="F20" i="47"/>
  <c r="J57" i="47" s="1"/>
  <c r="E20" i="47"/>
  <c r="H57" i="47" s="1"/>
  <c r="D20" i="47"/>
  <c r="F57" i="47" s="1"/>
  <c r="I19" i="47"/>
  <c r="H19" i="47"/>
  <c r="G19" i="47"/>
  <c r="F19" i="47"/>
  <c r="J53" i="47" s="1"/>
  <c r="E19" i="47"/>
  <c r="D19" i="47"/>
  <c r="I18" i="47"/>
  <c r="H18" i="47"/>
  <c r="G18" i="47"/>
  <c r="F18" i="47"/>
  <c r="E18" i="47"/>
  <c r="D18" i="47"/>
  <c r="I17" i="47"/>
  <c r="H17" i="47"/>
  <c r="G17" i="47"/>
  <c r="F17" i="47"/>
  <c r="E17" i="47"/>
  <c r="D17" i="47"/>
  <c r="I16" i="47"/>
  <c r="H16" i="47"/>
  <c r="G16" i="47"/>
  <c r="F16" i="47"/>
  <c r="E16" i="47"/>
  <c r="D16" i="47"/>
  <c r="H51" i="47"/>
  <c r="F7" i="47"/>
  <c r="G7" i="47" s="1"/>
  <c r="H7" i="47" s="1"/>
  <c r="I7" i="47" s="1"/>
  <c r="K39" i="47" l="1"/>
  <c r="N39" i="47"/>
  <c r="M39" i="47"/>
  <c r="M53" i="47"/>
  <c r="N53" i="47"/>
  <c r="N47" i="47"/>
  <c r="M47" i="47"/>
  <c r="N57" i="47"/>
  <c r="N55" i="47" s="1"/>
  <c r="M57" i="47"/>
  <c r="M55" i="47" s="1"/>
  <c r="E70" i="47"/>
  <c r="G70" i="47"/>
  <c r="L53" i="47"/>
  <c r="E39" i="47"/>
  <c r="E37" i="47"/>
  <c r="E78" i="47"/>
  <c r="E91" i="47" s="1"/>
  <c r="E81" i="47"/>
  <c r="M81" i="47" s="1"/>
  <c r="G81" i="47"/>
  <c r="F53" i="47"/>
  <c r="G39" i="47"/>
  <c r="H53" i="47"/>
  <c r="F50" i="47"/>
  <c r="G36" i="47"/>
  <c r="I39" i="47"/>
  <c r="F81" i="47"/>
  <c r="H81" i="47"/>
  <c r="J50" i="47"/>
  <c r="H36" i="47"/>
  <c r="G50" i="47"/>
  <c r="J39" i="47"/>
  <c r="F78" i="47"/>
  <c r="E51" i="47"/>
  <c r="D12" i="14"/>
  <c r="I37" i="47"/>
  <c r="F39" i="47"/>
  <c r="E53" i="47"/>
  <c r="I96" i="47"/>
  <c r="F37" i="47"/>
  <c r="I53" i="47"/>
  <c r="F73" i="47"/>
  <c r="H73" i="47"/>
  <c r="G57" i="47"/>
  <c r="E82" i="47" s="1"/>
  <c r="M82" i="47" s="1"/>
  <c r="F55" i="47"/>
  <c r="J55" i="47"/>
  <c r="H55" i="47"/>
  <c r="L55" i="47"/>
  <c r="K57" i="47"/>
  <c r="F70" i="47"/>
  <c r="G73" i="47"/>
  <c r="F36" i="47"/>
  <c r="H37" i="47"/>
  <c r="J38" i="47"/>
  <c r="H39" i="47"/>
  <c r="L39" i="47"/>
  <c r="E50" i="47"/>
  <c r="G51" i="47"/>
  <c r="G53" i="47"/>
  <c r="K53" i="47"/>
  <c r="E57" i="47"/>
  <c r="E74" i="47" s="1"/>
  <c r="I57" i="47"/>
  <c r="G74" i="47" s="1"/>
  <c r="E36" i="47"/>
  <c r="G37" i="47"/>
  <c r="H50" i="47"/>
  <c r="F51" i="47"/>
  <c r="F84" i="47"/>
  <c r="E12" i="14" s="1"/>
  <c r="I51" i="47"/>
  <c r="E112" i="46"/>
  <c r="E102" i="46"/>
  <c r="E99" i="46"/>
  <c r="E94" i="46"/>
  <c r="I13" i="46" s="1"/>
  <c r="E89" i="46"/>
  <c r="K76" i="46"/>
  <c r="L14" i="46" s="1"/>
  <c r="E74" i="46"/>
  <c r="K69" i="46"/>
  <c r="K14" i="46" s="1"/>
  <c r="K65" i="46"/>
  <c r="J14" i="46" s="1"/>
  <c r="K51" i="46"/>
  <c r="I14" i="46" s="1"/>
  <c r="K45" i="46"/>
  <c r="H14" i="46" s="1"/>
  <c r="E44" i="46"/>
  <c r="K36" i="46"/>
  <c r="G14" i="46" s="1"/>
  <c r="E33" i="46"/>
  <c r="E13" i="46" s="1"/>
  <c r="K30" i="46"/>
  <c r="F14" i="46" s="1"/>
  <c r="K26" i="46"/>
  <c r="E14" i="46" s="1"/>
  <c r="E26" i="46"/>
  <c r="K24" i="46"/>
  <c r="K19" i="46"/>
  <c r="E19" i="46"/>
  <c r="C13" i="46" s="1"/>
  <c r="D14" i="46"/>
  <c r="L13" i="46"/>
  <c r="K13" i="46"/>
  <c r="J13" i="46"/>
  <c r="H13" i="46"/>
  <c r="G13" i="46"/>
  <c r="F13" i="46"/>
  <c r="D13" i="46"/>
  <c r="E9" i="46"/>
  <c r="G9" i="46" s="1"/>
  <c r="E7" i="46"/>
  <c r="F7" i="46" s="1"/>
  <c r="C7" i="46"/>
  <c r="D7" i="46" s="1"/>
  <c r="K6" i="46"/>
  <c r="E6" i="46"/>
  <c r="F6" i="46" s="1"/>
  <c r="C6" i="46"/>
  <c r="K5" i="46"/>
  <c r="D5" i="46"/>
  <c r="E109" i="45"/>
  <c r="L13" i="45" s="1"/>
  <c r="E101" i="45"/>
  <c r="K13" i="45" s="1"/>
  <c r="E98" i="45"/>
  <c r="E93" i="45"/>
  <c r="I13" i="45" s="1"/>
  <c r="E88" i="45"/>
  <c r="H13" i="45" s="1"/>
  <c r="K76" i="45"/>
  <c r="L14" i="45" s="1"/>
  <c r="E73" i="45"/>
  <c r="G13" i="45" s="1"/>
  <c r="K69" i="45"/>
  <c r="K14" i="45" s="1"/>
  <c r="K65" i="45"/>
  <c r="J14" i="45" s="1"/>
  <c r="K51" i="45"/>
  <c r="I14" i="45" s="1"/>
  <c r="K45" i="45"/>
  <c r="H14" i="45" s="1"/>
  <c r="E43" i="45"/>
  <c r="F13" i="45" s="1"/>
  <c r="K36" i="45"/>
  <c r="G14" i="45" s="1"/>
  <c r="E33" i="45"/>
  <c r="E13" i="45" s="1"/>
  <c r="K30" i="45"/>
  <c r="K26" i="45"/>
  <c r="E14" i="45" s="1"/>
  <c r="E26" i="45"/>
  <c r="K24" i="45"/>
  <c r="K19" i="45"/>
  <c r="C14" i="45" s="1"/>
  <c r="E19" i="45"/>
  <c r="C13" i="45" s="1"/>
  <c r="F14" i="45"/>
  <c r="J13" i="45"/>
  <c r="G9" i="45"/>
  <c r="E9" i="45"/>
  <c r="E7" i="45"/>
  <c r="F7" i="45" s="1"/>
  <c r="C7" i="45"/>
  <c r="D7" i="45" s="1"/>
  <c r="K6" i="45"/>
  <c r="E6" i="45"/>
  <c r="F6" i="45" s="1"/>
  <c r="C6" i="45"/>
  <c r="K5" i="45"/>
  <c r="D5" i="45"/>
  <c r="E100" i="44"/>
  <c r="L14" i="44" s="1"/>
  <c r="E93" i="44"/>
  <c r="K14" i="44" s="1"/>
  <c r="E90" i="44"/>
  <c r="J14" i="44" s="1"/>
  <c r="E85" i="44"/>
  <c r="I14" i="44" s="1"/>
  <c r="E80" i="44"/>
  <c r="H14" i="44" s="1"/>
  <c r="K77" i="44"/>
  <c r="L15" i="44" s="1"/>
  <c r="K70" i="44"/>
  <c r="K15" i="44" s="1"/>
  <c r="E67" i="44"/>
  <c r="G14" i="44" s="1"/>
  <c r="K66" i="44"/>
  <c r="J15" i="44" s="1"/>
  <c r="K52" i="44"/>
  <c r="I15" i="44" s="1"/>
  <c r="K46" i="44"/>
  <c r="H15" i="44" s="1"/>
  <c r="E43" i="44"/>
  <c r="F14" i="44" s="1"/>
  <c r="K37" i="44"/>
  <c r="G15" i="44" s="1"/>
  <c r="E33" i="44"/>
  <c r="E14" i="44" s="1"/>
  <c r="K31" i="44"/>
  <c r="F15" i="44" s="1"/>
  <c r="K27" i="44"/>
  <c r="E15" i="44" s="1"/>
  <c r="E26" i="44"/>
  <c r="D14" i="44" s="1"/>
  <c r="K25" i="44"/>
  <c r="D15" i="44" s="1"/>
  <c r="K20" i="44"/>
  <c r="C15" i="44" s="1"/>
  <c r="E20" i="44"/>
  <c r="C14" i="44" s="1"/>
  <c r="G10" i="44"/>
  <c r="E10" i="44"/>
  <c r="E8" i="44"/>
  <c r="F8" i="44" s="1"/>
  <c r="C8" i="44"/>
  <c r="K7" i="44"/>
  <c r="E7" i="44"/>
  <c r="F7" i="44" s="1"/>
  <c r="C7" i="44"/>
  <c r="D7" i="44" s="1"/>
  <c r="K6" i="44"/>
  <c r="D6" i="44"/>
  <c r="E87" i="43"/>
  <c r="L13" i="43" s="1"/>
  <c r="E80" i="43"/>
  <c r="K13" i="43" s="1"/>
  <c r="E77" i="43"/>
  <c r="J13" i="43" s="1"/>
  <c r="K72" i="43"/>
  <c r="L14" i="43" s="1"/>
  <c r="E71" i="43"/>
  <c r="I13" i="43" s="1"/>
  <c r="K66" i="43"/>
  <c r="K14" i="43" s="1"/>
  <c r="E66" i="43"/>
  <c r="H13" i="43" s="1"/>
  <c r="K62" i="43"/>
  <c r="J14" i="43" s="1"/>
  <c r="E55" i="43"/>
  <c r="G13" i="43" s="1"/>
  <c r="K48" i="43"/>
  <c r="I14" i="43" s="1"/>
  <c r="K42" i="43"/>
  <c r="H14" i="43" s="1"/>
  <c r="E39" i="43"/>
  <c r="F13" i="43" s="1"/>
  <c r="K35" i="43"/>
  <c r="G14" i="43" s="1"/>
  <c r="E31" i="43"/>
  <c r="E13" i="43" s="1"/>
  <c r="K30" i="43"/>
  <c r="F14" i="43" s="1"/>
  <c r="K26" i="43"/>
  <c r="K24" i="43"/>
  <c r="D14" i="43" s="1"/>
  <c r="E24" i="43"/>
  <c r="D13" i="43" s="1"/>
  <c r="K19" i="43"/>
  <c r="C14" i="43" s="1"/>
  <c r="E19" i="43"/>
  <c r="C13" i="43" s="1"/>
  <c r="G9" i="43"/>
  <c r="E9" i="43"/>
  <c r="E7" i="43"/>
  <c r="F7" i="43" s="1"/>
  <c r="C7" i="43"/>
  <c r="K6" i="43"/>
  <c r="E6" i="43"/>
  <c r="F6" i="43" s="1"/>
  <c r="C6" i="43"/>
  <c r="D6" i="43" s="1"/>
  <c r="K5" i="43"/>
  <c r="D5" i="43"/>
  <c r="N14" i="45" l="1"/>
  <c r="E94" i="47"/>
  <c r="D14" i="45"/>
  <c r="I74" i="47"/>
  <c r="J37" i="47"/>
  <c r="E35" i="47"/>
  <c r="G108" i="47"/>
  <c r="K45" i="47"/>
  <c r="E49" i="47"/>
  <c r="H35" i="47"/>
  <c r="F77" i="47" s="1"/>
  <c r="F87" i="47" s="1"/>
  <c r="N13" i="45"/>
  <c r="N14" i="46"/>
  <c r="F74" i="47"/>
  <c r="N14" i="44"/>
  <c r="G35" i="47"/>
  <c r="F69" i="47" s="1"/>
  <c r="K50" i="47"/>
  <c r="G49" i="47"/>
  <c r="J36" i="47"/>
  <c r="N13" i="43"/>
  <c r="D13" i="45"/>
  <c r="C14" i="46"/>
  <c r="N13" i="46"/>
  <c r="J51" i="47"/>
  <c r="J49" i="47" s="1"/>
  <c r="I36" i="47"/>
  <c r="I35" i="47" s="1"/>
  <c r="G55" i="47"/>
  <c r="E80" i="47" s="1"/>
  <c r="I50" i="47"/>
  <c r="H108" i="47" s="1"/>
  <c r="F35" i="47"/>
  <c r="F59" i="47" s="1"/>
  <c r="E95" i="47"/>
  <c r="E93" i="47" s="1"/>
  <c r="N14" i="43"/>
  <c r="N15" i="44"/>
  <c r="M14" i="44"/>
  <c r="H49" i="47"/>
  <c r="H74" i="47"/>
  <c r="K55" i="47"/>
  <c r="H72" i="47" s="1"/>
  <c r="I72" i="47"/>
  <c r="F49" i="47"/>
  <c r="F82" i="47"/>
  <c r="F94" i="47"/>
  <c r="G102" i="47"/>
  <c r="G84" i="47"/>
  <c r="L36" i="47"/>
  <c r="I55" i="47"/>
  <c r="G72" i="47" s="1"/>
  <c r="E55" i="47"/>
  <c r="E72" i="47" s="1"/>
  <c r="F91" i="47"/>
  <c r="H82" i="47"/>
  <c r="F80" i="47"/>
  <c r="G82" i="47"/>
  <c r="G8" i="44"/>
  <c r="G7" i="43"/>
  <c r="D7" i="43"/>
  <c r="D8" i="44"/>
  <c r="M15" i="44"/>
  <c r="G7" i="45"/>
  <c r="M14" i="45"/>
  <c r="G7" i="46"/>
  <c r="M14" i="46"/>
  <c r="M13" i="43"/>
  <c r="E14" i="43"/>
  <c r="M14" i="43" s="1"/>
  <c r="G6" i="45"/>
  <c r="G6" i="46"/>
  <c r="M13" i="46"/>
  <c r="M13" i="45"/>
  <c r="E5" i="46"/>
  <c r="F5" i="46" s="1"/>
  <c r="D6" i="46"/>
  <c r="E5" i="45"/>
  <c r="F5" i="45" s="1"/>
  <c r="D6" i="45"/>
  <c r="G7" i="44"/>
  <c r="E6" i="44"/>
  <c r="F6" i="44" s="1"/>
  <c r="G6" i="43"/>
  <c r="E5" i="43"/>
  <c r="F5" i="43" s="1"/>
  <c r="G80" i="47" l="1"/>
  <c r="E77" i="47"/>
  <c r="E87" i="47" s="1"/>
  <c r="E69" i="47"/>
  <c r="K37" i="47"/>
  <c r="N37" i="47"/>
  <c r="N45" i="47"/>
  <c r="M51" i="47"/>
  <c r="N51" i="47"/>
  <c r="M37" i="47"/>
  <c r="M45" i="47"/>
  <c r="L44" i="47"/>
  <c r="J35" i="47"/>
  <c r="G69" i="47" s="1"/>
  <c r="L50" i="47"/>
  <c r="M72" i="47"/>
  <c r="F71" i="47"/>
  <c r="L37" i="47"/>
  <c r="L35" i="47" s="1"/>
  <c r="L45" i="47"/>
  <c r="K51" i="47"/>
  <c r="I108" i="47" s="1"/>
  <c r="L51" i="47"/>
  <c r="F72" i="47"/>
  <c r="K44" i="47"/>
  <c r="K36" i="47"/>
  <c r="H59" i="47"/>
  <c r="I49" i="47"/>
  <c r="G71" i="47" s="1"/>
  <c r="K43" i="47"/>
  <c r="G78" i="47" s="1"/>
  <c r="G91" i="47" s="1"/>
  <c r="G59" i="47"/>
  <c r="E79" i="47"/>
  <c r="E92" i="47" s="1"/>
  <c r="E96" i="47" s="1"/>
  <c r="F95" i="47"/>
  <c r="F93" i="47" s="1"/>
  <c r="H80" i="47"/>
  <c r="H84" i="47"/>
  <c r="G94" i="47"/>
  <c r="H102" i="47"/>
  <c r="G95" i="47"/>
  <c r="F89" i="47"/>
  <c r="F88" i="47"/>
  <c r="E88" i="47"/>
  <c r="E89" i="47"/>
  <c r="K35" i="47"/>
  <c r="E71" i="47"/>
  <c r="E59" i="47"/>
  <c r="A135" i="42"/>
  <c r="A134" i="42"/>
  <c r="A133" i="42"/>
  <c r="D132" i="42"/>
  <c r="C132" i="42"/>
  <c r="B132" i="42"/>
  <c r="A132" i="42"/>
  <c r="A131" i="42"/>
  <c r="E130" i="42"/>
  <c r="A130" i="42"/>
  <c r="C129" i="42"/>
  <c r="B129" i="42"/>
  <c r="A129" i="42"/>
  <c r="D127" i="42"/>
  <c r="C127" i="42"/>
  <c r="B127" i="42"/>
  <c r="A127" i="42"/>
  <c r="A126" i="42"/>
  <c r="E125" i="42"/>
  <c r="A125" i="42"/>
  <c r="C124" i="42"/>
  <c r="B124" i="42"/>
  <c r="A124" i="42"/>
  <c r="D122" i="42"/>
  <c r="C122" i="42"/>
  <c r="B122" i="42"/>
  <c r="A122" i="42"/>
  <c r="A121" i="42"/>
  <c r="E120" i="42"/>
  <c r="A120" i="42"/>
  <c r="C119" i="42"/>
  <c r="B119" i="42"/>
  <c r="A119" i="42"/>
  <c r="D117" i="42"/>
  <c r="C117" i="42"/>
  <c r="B117" i="42"/>
  <c r="A117" i="42"/>
  <c r="D116" i="42"/>
  <c r="C116" i="42"/>
  <c r="B116" i="42"/>
  <c r="A116" i="42"/>
  <c r="A115" i="42"/>
  <c r="E114" i="42"/>
  <c r="A114" i="42"/>
  <c r="C113" i="42"/>
  <c r="B113" i="42"/>
  <c r="A113" i="42"/>
  <c r="D111" i="42"/>
  <c r="C111" i="42"/>
  <c r="B111" i="42"/>
  <c r="A111" i="42"/>
  <c r="A110" i="42"/>
  <c r="E109" i="42"/>
  <c r="A109" i="42"/>
  <c r="C108" i="42"/>
  <c r="B108" i="42"/>
  <c r="A108" i="42"/>
  <c r="D106" i="42"/>
  <c r="C106" i="42"/>
  <c r="B106" i="42"/>
  <c r="A106" i="42"/>
  <c r="D105" i="42"/>
  <c r="C105" i="42"/>
  <c r="B105" i="42"/>
  <c r="A105" i="42"/>
  <c r="D104" i="42"/>
  <c r="C104" i="42"/>
  <c r="B104" i="42"/>
  <c r="A104" i="42"/>
  <c r="A103" i="42"/>
  <c r="E102" i="42"/>
  <c r="A102" i="42"/>
  <c r="C101" i="42"/>
  <c r="B101" i="42"/>
  <c r="A101" i="42"/>
  <c r="D99" i="42"/>
  <c r="C99" i="42"/>
  <c r="B99" i="42"/>
  <c r="A99" i="42"/>
  <c r="A98" i="42"/>
  <c r="E97" i="42"/>
  <c r="A97" i="42"/>
  <c r="C96" i="42"/>
  <c r="B96" i="42"/>
  <c r="A96" i="42"/>
  <c r="D94" i="42"/>
  <c r="C94" i="42"/>
  <c r="B94" i="42"/>
  <c r="A94" i="42"/>
  <c r="A93" i="42"/>
  <c r="E92" i="42"/>
  <c r="A92" i="42"/>
  <c r="C91" i="42"/>
  <c r="B91" i="42"/>
  <c r="A91" i="42"/>
  <c r="D89" i="42"/>
  <c r="C89" i="42"/>
  <c r="B89" i="42"/>
  <c r="A89" i="42"/>
  <c r="A88" i="42"/>
  <c r="E87" i="42"/>
  <c r="A87" i="42"/>
  <c r="C86" i="42"/>
  <c r="B86" i="42"/>
  <c r="A86" i="42"/>
  <c r="D84" i="42"/>
  <c r="C84" i="42"/>
  <c r="B84" i="42"/>
  <c r="A84" i="42"/>
  <c r="A83" i="42"/>
  <c r="E82" i="42"/>
  <c r="A82" i="42"/>
  <c r="C81" i="42"/>
  <c r="B81" i="42"/>
  <c r="A81" i="42"/>
  <c r="D79" i="42"/>
  <c r="C79" i="42"/>
  <c r="B79" i="42"/>
  <c r="A79" i="42"/>
  <c r="A78" i="42"/>
  <c r="E77" i="42"/>
  <c r="A77" i="42"/>
  <c r="C76" i="42"/>
  <c r="B76" i="42"/>
  <c r="A76" i="42"/>
  <c r="D74" i="42"/>
  <c r="C74" i="42"/>
  <c r="B74" i="42"/>
  <c r="A74" i="42"/>
  <c r="A73" i="42"/>
  <c r="E72" i="42"/>
  <c r="A72" i="42"/>
  <c r="C71" i="42"/>
  <c r="B71" i="42"/>
  <c r="A71" i="42"/>
  <c r="D69" i="42"/>
  <c r="C69" i="42"/>
  <c r="B69" i="42"/>
  <c r="A69" i="42"/>
  <c r="A68" i="42"/>
  <c r="E67" i="42"/>
  <c r="A67" i="42"/>
  <c r="C66" i="42"/>
  <c r="B66" i="42"/>
  <c r="A66" i="42"/>
  <c r="D64" i="42"/>
  <c r="C64" i="42"/>
  <c r="B64" i="42"/>
  <c r="A64" i="42"/>
  <c r="A63" i="42"/>
  <c r="A62" i="42"/>
  <c r="C61" i="42"/>
  <c r="B61" i="42"/>
  <c r="A61" i="42"/>
  <c r="D59" i="42"/>
  <c r="C59" i="42"/>
  <c r="B59" i="42"/>
  <c r="A59" i="42"/>
  <c r="A58" i="42"/>
  <c r="D55" i="42"/>
  <c r="C55" i="42"/>
  <c r="B55" i="42"/>
  <c r="A55" i="42"/>
  <c r="A54" i="42"/>
  <c r="A53" i="42"/>
  <c r="D50" i="42"/>
  <c r="C50" i="42"/>
  <c r="B50" i="42"/>
  <c r="A50" i="42"/>
  <c r="A49" i="42"/>
  <c r="A48" i="42"/>
  <c r="C45" i="42"/>
  <c r="B45" i="42"/>
  <c r="A45" i="42"/>
  <c r="C44" i="42"/>
  <c r="B44" i="42"/>
  <c r="A44" i="42"/>
  <c r="C43" i="42"/>
  <c r="B43" i="42"/>
  <c r="A43" i="42"/>
  <c r="A42" i="42"/>
  <c r="E41" i="42"/>
  <c r="C41" i="42"/>
  <c r="B41" i="42"/>
  <c r="A41" i="42"/>
  <c r="E40" i="42"/>
  <c r="C40" i="42"/>
  <c r="B40" i="42"/>
  <c r="A40" i="42"/>
  <c r="C39" i="42"/>
  <c r="B39" i="42"/>
  <c r="A39" i="42"/>
  <c r="D36" i="42"/>
  <c r="C36" i="42"/>
  <c r="B36" i="42"/>
  <c r="A36" i="42"/>
  <c r="A35" i="42"/>
  <c r="D31" i="42"/>
  <c r="C31" i="42"/>
  <c r="B31" i="42"/>
  <c r="A31" i="42"/>
  <c r="D30" i="42"/>
  <c r="C30" i="42"/>
  <c r="B30" i="42"/>
  <c r="A30" i="42"/>
  <c r="A29" i="42"/>
  <c r="E28" i="42"/>
  <c r="C28" i="42"/>
  <c r="B28" i="42"/>
  <c r="A28" i="42"/>
  <c r="E27" i="42"/>
  <c r="C27" i="42"/>
  <c r="B27" i="42"/>
  <c r="A27" i="42"/>
  <c r="E26" i="42"/>
  <c r="C26" i="42"/>
  <c r="B26" i="42"/>
  <c r="A26" i="42"/>
  <c r="E25" i="42"/>
  <c r="C25" i="42"/>
  <c r="B25" i="42"/>
  <c r="A25" i="42"/>
  <c r="E24" i="42"/>
  <c r="C24" i="42"/>
  <c r="B24" i="42"/>
  <c r="A24" i="42"/>
  <c r="A23" i="42"/>
  <c r="D21" i="42"/>
  <c r="C21" i="42"/>
  <c r="B21" i="42"/>
  <c r="A21" i="42"/>
  <c r="A20" i="42"/>
  <c r="A19" i="42"/>
  <c r="A18" i="42"/>
  <c r="D17" i="42"/>
  <c r="C17" i="42"/>
  <c r="B17" i="42"/>
  <c r="A17" i="42"/>
  <c r="A16" i="42"/>
  <c r="E15" i="42"/>
  <c r="C15" i="42"/>
  <c r="B15" i="42"/>
  <c r="A15" i="42"/>
  <c r="E14" i="42"/>
  <c r="C14" i="42"/>
  <c r="B14" i="42"/>
  <c r="A14" i="42"/>
  <c r="E13" i="42"/>
  <c r="C13" i="42"/>
  <c r="B13" i="42"/>
  <c r="A13" i="42"/>
  <c r="E12" i="42"/>
  <c r="C12" i="42"/>
  <c r="B12" i="42"/>
  <c r="A12" i="42"/>
  <c r="E11" i="42"/>
  <c r="C11" i="42"/>
  <c r="B11" i="42"/>
  <c r="A11" i="42"/>
  <c r="E10" i="42"/>
  <c r="C10" i="42"/>
  <c r="B10" i="42"/>
  <c r="A10" i="42"/>
  <c r="E9" i="42"/>
  <c r="C9" i="42"/>
  <c r="B9" i="42"/>
  <c r="A9" i="42"/>
  <c r="E8" i="42"/>
  <c r="C8" i="42"/>
  <c r="B8" i="42"/>
  <c r="A8" i="42"/>
  <c r="A7" i="42"/>
  <c r="L43" i="47" l="1"/>
  <c r="I59" i="47"/>
  <c r="L49" i="47"/>
  <c r="L59" i="47"/>
  <c r="H70" i="47"/>
  <c r="G77" i="47"/>
  <c r="G87" i="47" s="1"/>
  <c r="G89" i="47" s="1"/>
  <c r="N50" i="47"/>
  <c r="N49" i="47" s="1"/>
  <c r="M36" i="47"/>
  <c r="M35" i="47" s="1"/>
  <c r="M44" i="47"/>
  <c r="M43" i="47" s="1"/>
  <c r="N36" i="47"/>
  <c r="N35" i="47" s="1"/>
  <c r="N44" i="47"/>
  <c r="N43" i="47" s="1"/>
  <c r="M50" i="47"/>
  <c r="M49" i="47" s="1"/>
  <c r="J59" i="47"/>
  <c r="K49" i="47"/>
  <c r="G79" i="47" s="1"/>
  <c r="G92" i="47" s="1"/>
  <c r="F79" i="47"/>
  <c r="F92" i="47" s="1"/>
  <c r="F96" i="47" s="1"/>
  <c r="H77" i="47"/>
  <c r="H87" i="47" s="1"/>
  <c r="E133" i="42"/>
  <c r="H95" i="47"/>
  <c r="D95" i="47" s="1"/>
  <c r="H94" i="47"/>
  <c r="I102" i="47"/>
  <c r="H69" i="47"/>
  <c r="G93" i="47"/>
  <c r="D134" i="42"/>
  <c r="G88" i="47" l="1"/>
  <c r="N81" i="47"/>
  <c r="N82" i="47"/>
  <c r="O82" i="47" s="1"/>
  <c r="I71" i="47"/>
  <c r="J108" i="47"/>
  <c r="N59" i="47"/>
  <c r="D87" i="47"/>
  <c r="M59" i="47"/>
  <c r="H71" i="47"/>
  <c r="G96" i="47"/>
  <c r="C104" i="47"/>
  <c r="K59" i="47"/>
  <c r="H93" i="47"/>
  <c r="D93" i="47" s="1"/>
  <c r="I69" i="47"/>
  <c r="D94" i="47"/>
  <c r="H79" i="47"/>
  <c r="H92" i="47" s="1"/>
  <c r="D92" i="47" s="1"/>
  <c r="C103" i="47" s="1"/>
  <c r="C105" i="47" s="1"/>
  <c r="H89" i="47"/>
  <c r="D89" i="47" s="1"/>
  <c r="H88" i="47"/>
  <c r="D88" i="47" s="1"/>
  <c r="I70" i="47"/>
  <c r="H78" i="47"/>
  <c r="H91" i="47" s="1"/>
  <c r="D91" i="47" s="1"/>
  <c r="N83" i="47" l="1"/>
  <c r="O81" i="47"/>
  <c r="D96" i="47"/>
  <c r="H96" i="47"/>
  <c r="D21" i="14" l="1"/>
  <c r="D22" i="14"/>
  <c r="E21" i="14" l="1"/>
  <c r="E22" i="14"/>
  <c r="E13" i="14"/>
  <c r="F21" i="14" l="1"/>
  <c r="G21" i="14" l="1"/>
  <c r="C21" i="14" s="1"/>
  <c r="C10" i="14" l="1"/>
  <c r="D13" i="14" l="1"/>
  <c r="C9" i="14"/>
  <c r="C13" i="14" l="1"/>
  <c r="E137" i="42" l="1"/>
  <c r="C16" i="14"/>
  <c r="C15" i="14"/>
  <c r="C14" i="14" l="1"/>
  <c r="N18" i="38"/>
  <c r="F19" i="14" s="1"/>
  <c r="E29" i="14" s="1"/>
  <c r="F22" i="14" l="1"/>
  <c r="N24" i="38"/>
  <c r="G19" i="14" s="1"/>
  <c r="C19" i="14" s="1"/>
  <c r="G22" i="14" l="1"/>
  <c r="C22" i="14" s="1"/>
  <c r="F29" i="14"/>
</calcChain>
</file>

<file path=xl/comments1.xml><?xml version="1.0" encoding="utf-8"?>
<comments xmlns="http://schemas.openxmlformats.org/spreadsheetml/2006/main">
  <authors>
    <author>hhernandez</author>
    <author>Harold Hernandez</author>
  </authors>
  <commentList>
    <comment ref="K43" authorId="0" shapeId="0">
      <text>
        <r>
          <rPr>
            <b/>
            <sz val="9"/>
            <color indexed="81"/>
            <rFont val="Tahoma"/>
            <family val="2"/>
          </rPr>
          <t>hhernandez:</t>
        </r>
        <r>
          <rPr>
            <sz val="9"/>
            <color indexed="81"/>
            <rFont val="Tahoma"/>
            <family val="2"/>
          </rPr>
          <t xml:space="preserve">
Se auto abastece a partir de enero del año 2016, por medio de la C.T. Punta Rincón.</t>
        </r>
      </text>
    </comment>
    <comment ref="E87" authorId="0" shapeId="0">
      <text>
        <r>
          <rPr>
            <b/>
            <sz val="9"/>
            <color indexed="81"/>
            <rFont val="Tahoma"/>
            <family val="2"/>
          </rPr>
          <t>hhernandez:</t>
        </r>
        <r>
          <rPr>
            <sz val="9"/>
            <color indexed="81"/>
            <rFont val="Tahoma"/>
            <family val="2"/>
          </rPr>
          <t xml:space="preserve">
Sólo se toma en cuenta el excedente que puediese inyectar al SIN.  No hace referencia a la Capacidad Instalada de la Central Térmica.</t>
        </r>
      </text>
    </comment>
    <comment ref="E96" authorId="1" shapeId="0">
      <text>
        <r>
          <rPr>
            <b/>
            <sz val="9"/>
            <color indexed="81"/>
            <rFont val="Tahoma"/>
            <family val="2"/>
          </rPr>
          <t>Harold Hernandez:</t>
        </r>
        <r>
          <rPr>
            <sz val="9"/>
            <color indexed="81"/>
            <rFont val="Tahoma"/>
            <family val="2"/>
          </rPr>
          <t xml:space="preserve">
Considera a las unidades 1, 2, 5 y 6.  Las unidades 3 y 4 se retiraron el 31 de diciembre de 2013.</t>
        </r>
      </text>
    </comment>
  </commentList>
</comments>
</file>

<file path=xl/comments2.xml><?xml version="1.0" encoding="utf-8"?>
<comments xmlns="http://schemas.openxmlformats.org/spreadsheetml/2006/main">
  <authors>
    <author>hhernandez</author>
    <author>Harold Hernandez</author>
  </authors>
  <commentList>
    <comment ref="K43" authorId="0" shapeId="0">
      <text>
        <r>
          <rPr>
            <b/>
            <sz val="9"/>
            <color indexed="81"/>
            <rFont val="Tahoma"/>
            <family val="2"/>
          </rPr>
          <t>hhernandez:</t>
        </r>
        <r>
          <rPr>
            <sz val="9"/>
            <color indexed="81"/>
            <rFont val="Tahoma"/>
            <family val="2"/>
          </rPr>
          <t xml:space="preserve">
Se auto abastece a partir de enero del año 2016, por medio de la C.T. Punta Rincón.</t>
        </r>
      </text>
    </comment>
    <comment ref="E86" authorId="0" shapeId="0">
      <text>
        <r>
          <rPr>
            <b/>
            <sz val="9"/>
            <color indexed="81"/>
            <rFont val="Tahoma"/>
            <family val="2"/>
          </rPr>
          <t>hhernandez:</t>
        </r>
        <r>
          <rPr>
            <sz val="9"/>
            <color indexed="81"/>
            <rFont val="Tahoma"/>
            <family val="2"/>
          </rPr>
          <t xml:space="preserve">
Sólo se toma en cuenta el excedente que puediese inyectar al SIN.  No hace referencia a la Capacidad Instalada de la Central Térmica.</t>
        </r>
      </text>
    </comment>
    <comment ref="E95" authorId="1" shapeId="0">
      <text>
        <r>
          <rPr>
            <b/>
            <sz val="9"/>
            <color indexed="81"/>
            <rFont val="Tahoma"/>
            <family val="2"/>
          </rPr>
          <t>Harold Hernandez:</t>
        </r>
        <r>
          <rPr>
            <sz val="9"/>
            <color indexed="81"/>
            <rFont val="Tahoma"/>
            <family val="2"/>
          </rPr>
          <t xml:space="preserve">
Considera a las unidades 1, 2, 5 y 6.  Las unidades 3 y 4 se retiraron el 31 de diciembre de 2013.</t>
        </r>
      </text>
    </comment>
  </commentList>
</comments>
</file>

<file path=xl/comments3.xml><?xml version="1.0" encoding="utf-8"?>
<comments xmlns="http://schemas.openxmlformats.org/spreadsheetml/2006/main">
  <authors>
    <author>Harold Hernandez</author>
  </authors>
  <commentList>
    <comment ref="E87" authorId="0" shapeId="0">
      <text>
        <r>
          <rPr>
            <b/>
            <sz val="9"/>
            <color indexed="81"/>
            <rFont val="Tahoma"/>
            <family val="2"/>
          </rPr>
          <t>Harold Hernandez:</t>
        </r>
        <r>
          <rPr>
            <sz val="9"/>
            <color indexed="81"/>
            <rFont val="Tahoma"/>
            <family val="2"/>
          </rPr>
          <t xml:space="preserve">
Considera a las unidades 1, 2, 5 y 6.  Las unidades 3 y 4 se retiraron el 31 de diciembre de 2013.</t>
        </r>
      </text>
    </comment>
  </commentList>
</comments>
</file>

<file path=xl/comments4.xml><?xml version="1.0" encoding="utf-8"?>
<comments xmlns="http://schemas.openxmlformats.org/spreadsheetml/2006/main">
  <authors>
    <author>Harold Hernandez</author>
  </authors>
  <commentList>
    <comment ref="E72" authorId="0" shapeId="0">
      <text>
        <r>
          <rPr>
            <b/>
            <sz val="9"/>
            <color indexed="81"/>
            <rFont val="Tahoma"/>
            <family val="2"/>
          </rPr>
          <t>Harold Hernandez:</t>
        </r>
        <r>
          <rPr>
            <sz val="9"/>
            <color indexed="81"/>
            <rFont val="Tahoma"/>
            <family val="2"/>
          </rPr>
          <t xml:space="preserve">
Estas unidades se retirará en abril del año 2014, según el Plan Indicativo de Generación 2013.</t>
        </r>
      </text>
    </comment>
    <comment ref="E74" authorId="0" shapeId="0">
      <text>
        <r>
          <rPr>
            <b/>
            <sz val="9"/>
            <color indexed="81"/>
            <rFont val="Tahoma"/>
            <family val="2"/>
          </rPr>
          <t>Harold Hernandez:</t>
        </r>
        <r>
          <rPr>
            <sz val="9"/>
            <color indexed="81"/>
            <rFont val="Tahoma"/>
            <family val="2"/>
          </rPr>
          <t xml:space="preserve">
Considera a las unidades 1, 2, 3, 4, 5 y 6.  Las unidades 3 y 4 se retirará el 31 de diciembre de 2013.</t>
        </r>
      </text>
    </comment>
  </commentList>
</comments>
</file>

<file path=xl/comments5.xml><?xml version="1.0" encoding="utf-8"?>
<comments xmlns="http://schemas.openxmlformats.org/spreadsheetml/2006/main">
  <authors>
    <author>Jorge Medina</author>
  </authors>
  <commentList>
    <comment ref="B28" authorId="0" shapeId="0">
      <text>
        <r>
          <rPr>
            <b/>
            <sz val="9"/>
            <color indexed="81"/>
            <rFont val="Tahoma"/>
            <family val="2"/>
          </rPr>
          <t>Jorge Medina:</t>
        </r>
        <r>
          <rPr>
            <sz val="9"/>
            <color indexed="81"/>
            <rFont val="Tahoma"/>
            <family val="2"/>
          </rPr>
          <t xml:space="preserve">
chitre 
penonome 
santiago</t>
        </r>
      </text>
    </comment>
    <comment ref="B35" authorId="0" shapeId="0">
      <text>
        <r>
          <rPr>
            <b/>
            <sz val="9"/>
            <color indexed="81"/>
            <rFont val="Tahoma"/>
            <charset val="1"/>
          </rPr>
          <t>Jorge Medina:</t>
        </r>
        <r>
          <rPr>
            <sz val="9"/>
            <color indexed="81"/>
            <rFont val="Tahoma"/>
            <charset val="1"/>
          </rPr>
          <t xml:space="preserve">
el torno
burunga
chorrera</t>
        </r>
      </text>
    </comment>
    <comment ref="B37" authorId="0" shapeId="0">
      <text>
        <r>
          <rPr>
            <b/>
            <sz val="9"/>
            <color indexed="81"/>
            <rFont val="Tahoma"/>
            <family val="2"/>
          </rPr>
          <t>Jorge Medina:</t>
        </r>
        <r>
          <rPr>
            <sz val="9"/>
            <color indexed="81"/>
            <rFont val="Tahoma"/>
            <family val="2"/>
          </rPr>
          <t xml:space="preserve">
plaza italia</t>
        </r>
      </text>
    </comment>
    <comment ref="B49" authorId="0" shapeId="0">
      <text>
        <r>
          <rPr>
            <b/>
            <sz val="9"/>
            <color indexed="81"/>
            <rFont val="Tahoma"/>
            <family val="2"/>
          </rPr>
          <t>Jorge Medina:</t>
        </r>
        <r>
          <rPr>
            <sz val="9"/>
            <color indexed="81"/>
            <rFont val="Tahoma"/>
            <family val="2"/>
          </rPr>
          <t xml:space="preserve">
Vporr
Ptapac
tmuert
albrook
Sanfco</t>
        </r>
      </text>
    </comment>
    <comment ref="B57" authorId="0" shapeId="0">
      <text>
        <r>
          <rPr>
            <b/>
            <sz val="9"/>
            <color indexed="81"/>
            <rFont val="Tahoma"/>
            <family val="2"/>
          </rPr>
          <t>Jorge Medina:</t>
        </r>
        <r>
          <rPr>
            <sz val="9"/>
            <color indexed="81"/>
            <rFont val="Tahoma"/>
            <family val="2"/>
          </rPr>
          <t xml:space="preserve">
Pzatoc
faro
costae
pgolf
dona
pzacar</t>
        </r>
      </text>
    </comment>
    <comment ref="B61" authorId="0" shapeId="0">
      <text>
        <r>
          <rPr>
            <b/>
            <sz val="9"/>
            <color indexed="81"/>
            <rFont val="Tahoma"/>
            <charset val="1"/>
          </rPr>
          <t>Jorge Medina:</t>
        </r>
        <r>
          <rPr>
            <sz val="9"/>
            <color indexed="81"/>
            <rFont val="Tahoma"/>
            <charset val="1"/>
          </rPr>
          <t xml:space="preserve">
en datos enviados por ensa (el valor no apareces), y el indicativo de demanda informa que es 0</t>
        </r>
      </text>
    </comment>
    <comment ref="B68" authorId="0" shapeId="0">
      <text>
        <r>
          <rPr>
            <b/>
            <sz val="9"/>
            <color indexed="81"/>
            <rFont val="Tahoma"/>
            <family val="2"/>
          </rPr>
          <t>Jorge Medina:</t>
        </r>
        <r>
          <rPr>
            <sz val="9"/>
            <color indexed="81"/>
            <rFont val="Tahoma"/>
            <family val="2"/>
          </rPr>
          <t xml:space="preserve">
col2k
porto</t>
        </r>
      </text>
    </comment>
    <comment ref="B69" authorId="0" shapeId="0">
      <text>
        <r>
          <rPr>
            <b/>
            <sz val="9"/>
            <color indexed="81"/>
            <rFont val="Tahoma"/>
            <charset val="1"/>
          </rPr>
          <t>Jorge Medina:</t>
        </r>
        <r>
          <rPr>
            <sz val="9"/>
            <color indexed="81"/>
            <rFont val="Tahoma"/>
            <charset val="1"/>
          </rPr>
          <t xml:space="preserve">
informe cnd muestra eb n el indicativo de demanda, su proyeccion es 0 demanda no coincidente</t>
        </r>
      </text>
    </comment>
  </commentList>
</comments>
</file>

<file path=xl/comments6.xml><?xml version="1.0" encoding="utf-8"?>
<comments xmlns="http://schemas.openxmlformats.org/spreadsheetml/2006/main">
  <authors>
    <author>eperez</author>
  </authors>
  <commentList>
    <comment ref="H7" authorId="0" shapeId="0">
      <text>
        <r>
          <rPr>
            <b/>
            <sz val="9"/>
            <color indexed="81"/>
            <rFont val="Tahoma"/>
            <family val="2"/>
          </rPr>
          <t>eperez:</t>
        </r>
        <r>
          <rPr>
            <sz val="9"/>
            <color indexed="81"/>
            <rFont val="Tahoma"/>
            <family val="2"/>
          </rPr>
          <t xml:space="preserve">
corresponde al mes de junio del año en el cual se hicieron los cálculos del imp y que fue aprobado
(para el periodo 2013-2017 se hicieron en 1er semestre del 2013).
No cambia durante las actualizaciones de los años 1,2,3,4 porque es la base del período 2013-2017
</t>
        </r>
      </text>
    </comment>
    <comment ref="L8" authorId="0" shapeId="0">
      <text>
        <r>
          <rPr>
            <b/>
            <sz val="9"/>
            <color indexed="81"/>
            <rFont val="Tahoma"/>
            <family val="2"/>
          </rPr>
          <t>eperez:</t>
        </r>
        <r>
          <rPr>
            <sz val="9"/>
            <color indexed="81"/>
            <rFont val="Tahoma"/>
            <family val="2"/>
          </rPr>
          <t xml:space="preserve">
Corresponde al año base 2013 no cambia en las actualizaciones años 1,2,3,4, del perdíodo 2013-2017</t>
        </r>
      </text>
    </comment>
    <comment ref="H10" authorId="0" shapeId="0">
      <text>
        <r>
          <rPr>
            <b/>
            <sz val="9"/>
            <color indexed="81"/>
            <rFont val="Tahoma"/>
            <family val="2"/>
          </rPr>
          <t>eperez:</t>
        </r>
        <r>
          <rPr>
            <sz val="9"/>
            <color indexed="81"/>
            <rFont val="Tahoma"/>
            <family val="2"/>
          </rPr>
          <t xml:space="preserve">
corresponde a la fecha en que será aplicado los resultados de la actualizacion. (en este caso se analiza para aplicar en julio/2014)</t>
        </r>
      </text>
    </comment>
    <comment ref="L11" authorId="0" shapeId="0">
      <text>
        <r>
          <rPr>
            <b/>
            <sz val="9"/>
            <color indexed="81"/>
            <rFont val="Tahoma"/>
            <family val="2"/>
          </rPr>
          <t>eperez:</t>
        </r>
        <r>
          <rPr>
            <sz val="9"/>
            <color indexed="81"/>
            <rFont val="Tahoma"/>
            <family val="2"/>
          </rPr>
          <t xml:space="preserve">
Año de aplicación  (i) en este caso es el 2014
i-1 = 2013 menos (1) 
La base de datos en este caso es el 2013
i= 2014
  -1  =  2014-1=2013</t>
        </r>
      </text>
    </comment>
    <comment ref="F15" authorId="0" shapeId="0">
      <text>
        <r>
          <rPr>
            <b/>
            <sz val="9"/>
            <color indexed="81"/>
            <rFont val="Tahoma"/>
            <family val="2"/>
          </rPr>
          <t>eperez:</t>
        </r>
        <r>
          <rPr>
            <sz val="9"/>
            <color indexed="81"/>
            <rFont val="Tahoma"/>
            <family val="2"/>
          </rPr>
          <t xml:space="preserve">
siempre el denominador es la base en este caso 2013 (INICIO DEL PERIODO TARIFARIO)
act. En el ultimo caso sera 2021(INICIO DEL PERIODO TARIFARIO)</t>
        </r>
      </text>
    </comment>
  </commentList>
</comments>
</file>

<file path=xl/comments7.xml><?xml version="1.0" encoding="utf-8"?>
<comments xmlns="http://schemas.openxmlformats.org/spreadsheetml/2006/main">
  <authors>
    <author>Usuario</author>
  </authors>
  <commentList>
    <comment ref="F41" authorId="0" shapeId="0">
      <text>
        <r>
          <rPr>
            <b/>
            <sz val="9"/>
            <color indexed="81"/>
            <rFont val="Tahoma"/>
            <family val="2"/>
          </rPr>
          <t>Usuario:</t>
        </r>
        <r>
          <rPr>
            <sz val="9"/>
            <color indexed="81"/>
            <rFont val="Tahoma"/>
            <family val="2"/>
          </rPr>
          <t xml:space="preserve">
Los 456396,77 son los solicitados por ETESA en Nota ETE-DGC-GTA-010-2013 del 23 de Julio de 2013 por gastos 2009-2013.</t>
        </r>
      </text>
    </comment>
  </commentList>
</comments>
</file>

<file path=xl/comments8.xml><?xml version="1.0" encoding="utf-8"?>
<comments xmlns="http://schemas.openxmlformats.org/spreadsheetml/2006/main">
  <authors>
    <author>Enrique Hernandez Cárdenas</author>
    <author>Marian del Carmen Evans</author>
  </authors>
  <commentList>
    <comment ref="T61" authorId="0" shapeId="0">
      <text>
        <r>
          <rPr>
            <b/>
            <sz val="9"/>
            <color indexed="81"/>
            <rFont val="Tahoma"/>
            <family val="2"/>
          </rPr>
          <t>Enrique Hernandez Cárdenas:</t>
        </r>
        <r>
          <rPr>
            <sz val="9"/>
            <color indexed="81"/>
            <rFont val="Tahoma"/>
            <family val="2"/>
          </rPr>
          <t xml:space="preserve">
ES EL UNICO QUE SE P ONE EN VALORES DEBIDO A SU COMPONETE MIXTO DE DOS DISTRIBUIDORAS
</t>
        </r>
      </text>
    </comment>
    <comment ref="K153" authorId="1" shapeId="0">
      <text>
        <r>
          <rPr>
            <b/>
            <sz val="9"/>
            <color indexed="81"/>
            <rFont val="Tahoma"/>
            <family val="2"/>
          </rPr>
          <t>Marian del Carmen Evans:</t>
        </r>
        <r>
          <rPr>
            <sz val="9"/>
            <color indexed="81"/>
            <rFont val="Tahoma"/>
            <family val="2"/>
          </rPr>
          <t xml:space="preserve">
cambio de capacidad de 57.85 a 97.7 por entrada de una nueva nave según nota de ACP a partir de enero 2022</t>
        </r>
      </text>
    </comment>
  </commentList>
</comments>
</file>

<file path=xl/comments9.xml><?xml version="1.0" encoding="utf-8"?>
<comments xmlns="http://schemas.openxmlformats.org/spreadsheetml/2006/main">
  <authors>
    <author>Usuario</author>
  </authors>
  <commentList>
    <comment ref="S41" authorId="0" shapeId="0">
      <text>
        <r>
          <rPr>
            <b/>
            <sz val="9"/>
            <color indexed="81"/>
            <rFont val="Tahoma"/>
            <family val="2"/>
          </rPr>
          <t>Usuario:</t>
        </r>
        <r>
          <rPr>
            <sz val="9"/>
            <color indexed="81"/>
            <rFont val="Tahoma"/>
            <family val="2"/>
          </rPr>
          <t xml:space="preserve">
Los 456396,77 son los solicitados por ETESA en Nota ETE-DGC-GTA-010-2013 del 23 de Julio de 2013 por gastos 2009-2013.</t>
        </r>
      </text>
    </comment>
    <comment ref="AF41" authorId="0" shapeId="0">
      <text>
        <r>
          <rPr>
            <b/>
            <sz val="9"/>
            <color indexed="81"/>
            <rFont val="Tahoma"/>
            <family val="2"/>
          </rPr>
          <t>Usuario:</t>
        </r>
        <r>
          <rPr>
            <sz val="9"/>
            <color indexed="81"/>
            <rFont val="Tahoma"/>
            <family val="2"/>
          </rPr>
          <t xml:space="preserve">
Los 456396,77 son los solicitados por ETESA en Nota ETE-DGC-GTA-010-2013 del 23 de Julio de 2013 por gastos 2009-2013.</t>
        </r>
      </text>
    </comment>
  </commentList>
</comments>
</file>

<file path=xl/sharedStrings.xml><?xml version="1.0" encoding="utf-8"?>
<sst xmlns="http://schemas.openxmlformats.org/spreadsheetml/2006/main" count="2730" uniqueCount="842">
  <si>
    <t>Macho de Monte</t>
  </si>
  <si>
    <t>Dolega</t>
  </si>
  <si>
    <t>TOTAL</t>
  </si>
  <si>
    <t>EMPRESA DE TRANSMISIÓN ELÉCTRICA, S.A.</t>
  </si>
  <si>
    <t>Bayano</t>
  </si>
  <si>
    <t>La Yeguada</t>
  </si>
  <si>
    <t>CAPACIDAD INSTALADA Y DEMANDA MAXIMA NO COINCIDENTE (MW)</t>
  </si>
  <si>
    <t>Ingreso asignado a Generadores</t>
  </si>
  <si>
    <t>Capacidad Instalada Total por año tarifario</t>
  </si>
  <si>
    <t>Demanda Máxima No coincidente Total por año tarifario</t>
  </si>
  <si>
    <t>Agentes Consumidores</t>
  </si>
  <si>
    <t>Agentes Generadores</t>
  </si>
  <si>
    <t>Ingreso asignado a Consumidores</t>
  </si>
  <si>
    <t>CARGOS POR SERVICIO DE OPERACIÓN INTEGRADA (SOI)</t>
  </si>
  <si>
    <t>DETALLE</t>
  </si>
  <si>
    <t>Bonyic</t>
  </si>
  <si>
    <t>Total</t>
  </si>
  <si>
    <t xml:space="preserve">CND </t>
  </si>
  <si>
    <t>ESTRUCTURA</t>
  </si>
  <si>
    <t>CND: Centro Nacional de Despacho</t>
  </si>
  <si>
    <t>Zona 1</t>
  </si>
  <si>
    <t>Zona 2</t>
  </si>
  <si>
    <t>Zona 3</t>
  </si>
  <si>
    <t>Zona 4</t>
  </si>
  <si>
    <t>Zona 5</t>
  </si>
  <si>
    <t>Zona 6</t>
  </si>
  <si>
    <t>Zona 7</t>
  </si>
  <si>
    <t>Zona 8</t>
  </si>
  <si>
    <t>Zona 9</t>
  </si>
  <si>
    <t>Zona 10</t>
  </si>
  <si>
    <t>Colón</t>
  </si>
  <si>
    <t>Bajo de Mina</t>
  </si>
  <si>
    <t>Fortuna</t>
  </si>
  <si>
    <t>Estí</t>
  </si>
  <si>
    <t>Los Valles</t>
  </si>
  <si>
    <t>Chitré</t>
  </si>
  <si>
    <t>Capira</t>
  </si>
  <si>
    <t>Pacora</t>
  </si>
  <si>
    <t>INGRESO PERMITIDO POR AÑO TARIFARIO</t>
  </si>
  <si>
    <t>EMPRESA DE TRANSMISIÓN ELÉCTRICA S.A.</t>
  </si>
  <si>
    <t xml:space="preserve">PARÁMETROS Y VALORES UTILIZADOS EN EL CÁLCULO DE LOS INGRESOS MÁXIMOS  PERMITIDOS </t>
  </si>
  <si>
    <t>PARAMETROS</t>
  </si>
  <si>
    <t>UNIDAD</t>
  </si>
  <si>
    <t>OMT</t>
  </si>
  <si>
    <t>%</t>
  </si>
  <si>
    <t>ADMT</t>
  </si>
  <si>
    <t>RRT</t>
  </si>
  <si>
    <t>ACTIVOS RECONOCIDOS (al final del año)</t>
  </si>
  <si>
    <t>ACTSPT (Sistema Principal)</t>
  </si>
  <si>
    <t>B/.MILES</t>
  </si>
  <si>
    <t>ACTCT(Conexión)</t>
  </si>
  <si>
    <t>ACTH (Hidrometeorología)</t>
  </si>
  <si>
    <t>ACTNSPT(Neto Sistema Principal)</t>
  </si>
  <si>
    <t>ACTNTC( Neto Conexión)</t>
  </si>
  <si>
    <t>ACTNH (Neto Hidromet.)</t>
  </si>
  <si>
    <t>ACTIVOS EFICIENTES (al final del año)</t>
  </si>
  <si>
    <t>ACTSPTef (Sistema Principal)</t>
  </si>
  <si>
    <t>ACTCTef (Conexión)</t>
  </si>
  <si>
    <t>ACTIVOS INCORPORADOS PARCIALMENTE</t>
  </si>
  <si>
    <t>-</t>
  </si>
  <si>
    <t xml:space="preserve"> INGRESOS MÁXIMOS PERMITIDOS</t>
  </si>
  <si>
    <t>PRINCIPAL</t>
  </si>
  <si>
    <t>Operación y Mantenimiento</t>
  </si>
  <si>
    <t>Administración</t>
  </si>
  <si>
    <t>Depreciación</t>
  </si>
  <si>
    <t>Rentabilidad sobre Activos</t>
  </si>
  <si>
    <t>CONEXIÓN</t>
  </si>
  <si>
    <t>SERVICIO DE OPERACIÓN INTEGRADA</t>
  </si>
  <si>
    <t>Hidrometeorología</t>
  </si>
  <si>
    <t>CÁLCULO DEL VPN DEL INGRESO PERMITIDO PARA EL PERIODO TARIFARIO</t>
  </si>
  <si>
    <t>RESUMEN</t>
  </si>
  <si>
    <t>Centro Nacional de Despacho (sin inversiones)</t>
  </si>
  <si>
    <t>2013-2014</t>
  </si>
  <si>
    <t xml:space="preserve">FACTOR DE ACTUALIZACIÓN </t>
  </si>
  <si>
    <t>VPN(2)</t>
  </si>
  <si>
    <t>Centro Nacional de Despacho</t>
  </si>
  <si>
    <t>Gualaca</t>
  </si>
  <si>
    <t>Lorena</t>
  </si>
  <si>
    <t>Prudencia</t>
  </si>
  <si>
    <t>Cochea</t>
  </si>
  <si>
    <t>Mendre</t>
  </si>
  <si>
    <t>Pedregalito</t>
  </si>
  <si>
    <t>Concepción</t>
  </si>
  <si>
    <t>Baitún</t>
  </si>
  <si>
    <t>Pando</t>
  </si>
  <si>
    <t>Monte Lirio</t>
  </si>
  <si>
    <t>El Alto</t>
  </si>
  <si>
    <t>Barro Blanco</t>
  </si>
  <si>
    <t>Paso Ancho</t>
  </si>
  <si>
    <t>Antón</t>
  </si>
  <si>
    <t>El Giral</t>
  </si>
  <si>
    <t>EDECHI</t>
  </si>
  <si>
    <t>Caldera 115-19</t>
  </si>
  <si>
    <t>Mega Depot</t>
  </si>
  <si>
    <t>DISTRIBUCION DE INGRESOS 50% CADA GRUPO</t>
  </si>
  <si>
    <t>INGRESO MÁXIMO PERMITIDO PARA SERVICIOS DE OPERACIÓN INTEGRADA (CON INVERSIONES)</t>
  </si>
  <si>
    <t>INGRESO PERMITIDO POR SERVICIO DE OPERACIÓN INTEGRADA</t>
  </si>
  <si>
    <t>AÑOS TARIFARIOS</t>
  </si>
  <si>
    <t>(Miles de Balboas de Diciembre de 2012)</t>
  </si>
  <si>
    <t>ACTNSPT(Neto Sistema Principal) + PG</t>
  </si>
  <si>
    <t>ACTNH (Neto Hidro. Remanente)</t>
  </si>
  <si>
    <t>ACTIVOS EFICIENTES (al final del año - VNR)</t>
  </si>
  <si>
    <t>EQUIPAMIENTO PRINCIPAL</t>
  </si>
  <si>
    <t>Generación Obligada</t>
  </si>
  <si>
    <t>EQUIPAMIENTO ASOCIADO TOTALMENTE A  LA DEMANDA</t>
  </si>
  <si>
    <t>(Miles de Balboas de Dic 2012)</t>
  </si>
  <si>
    <r>
      <t>INGRESO ANUAL</t>
    </r>
    <r>
      <rPr>
        <sz val="10"/>
        <rFont val="Arial"/>
        <family val="2"/>
      </rPr>
      <t xml:space="preserve"> (Año Calendario)</t>
    </r>
  </si>
  <si>
    <t xml:space="preserve">Centro Nacional de Despacho </t>
  </si>
  <si>
    <r>
      <t>INGRESO ANUAL</t>
    </r>
    <r>
      <rPr>
        <sz val="10"/>
        <rFont val="Arial"/>
        <family val="2"/>
      </rPr>
      <t xml:space="preserve"> (Año Tarifario)(1)</t>
    </r>
  </si>
  <si>
    <t>2014-2015</t>
  </si>
  <si>
    <t>2015-2016</t>
  </si>
  <si>
    <t>2016-2017</t>
  </si>
  <si>
    <t>2017-2018</t>
  </si>
  <si>
    <t>230 kV</t>
  </si>
  <si>
    <t>115 kV</t>
  </si>
  <si>
    <t xml:space="preserve">230 kV </t>
  </si>
  <si>
    <r>
      <t>(1)</t>
    </r>
    <r>
      <rPr>
        <sz val="9"/>
        <rFont val="Arial"/>
        <family val="2"/>
      </rPr>
      <t xml:space="preserve">  El Año Tarifario comprende del 1º de julio al 30 de junio del año siguiente</t>
    </r>
  </si>
  <si>
    <t>(2)  Referido al 1º de julio de 2013</t>
  </si>
  <si>
    <t>Factores de actualización</t>
  </si>
  <si>
    <t>Jul13/Jun14</t>
  </si>
  <si>
    <t>Jul14/Jun15</t>
  </si>
  <si>
    <t>Jul15/Jun16</t>
  </si>
  <si>
    <t>Jul16/Jun17</t>
  </si>
  <si>
    <t>Sistema de conexión</t>
  </si>
  <si>
    <t>IPCT [Miles de B/.]</t>
  </si>
  <si>
    <t>IPCvnr [Miles de B/.]</t>
  </si>
  <si>
    <t>FA</t>
  </si>
  <si>
    <t>IPCvnri</t>
  </si>
  <si>
    <t>Año Tarifario:</t>
  </si>
  <si>
    <t>2013 - 2014</t>
  </si>
  <si>
    <t>IP SPT P  (k B/.)</t>
  </si>
  <si>
    <t>Longitud  (km)</t>
  </si>
  <si>
    <t>CU</t>
  </si>
  <si>
    <t>Total:</t>
  </si>
  <si>
    <t>(kB/./km)</t>
  </si>
  <si>
    <t>%ASIGP (G) =</t>
  </si>
  <si>
    <t>%ASIGP (D) =</t>
  </si>
  <si>
    <t xml:space="preserve">115 kV </t>
  </si>
  <si>
    <t>IP SPT D:</t>
  </si>
  <si>
    <t>(230 kV)</t>
  </si>
  <si>
    <t>MW</t>
  </si>
  <si>
    <t>Pinst (G)</t>
  </si>
  <si>
    <t>Pma (D)</t>
  </si>
  <si>
    <t>Capacidad Instalada Prevista  (MW)</t>
  </si>
  <si>
    <t>Demanda Máxima No Coincidente Prevista  (MW)</t>
  </si>
  <si>
    <t>Zona</t>
  </si>
  <si>
    <t>Nodo</t>
  </si>
  <si>
    <t>Mes de Ingreso</t>
  </si>
  <si>
    <t>Progreso T1 y T2</t>
  </si>
  <si>
    <t>San Andrés</t>
  </si>
  <si>
    <t>Charco Azul</t>
  </si>
  <si>
    <t>…</t>
  </si>
  <si>
    <t>La Estrella</t>
  </si>
  <si>
    <t>Mata Nance 34-9</t>
  </si>
  <si>
    <t>Mata Nance 34-10/11/15</t>
  </si>
  <si>
    <t>Mendre II</t>
  </si>
  <si>
    <t>EDEMET</t>
  </si>
  <si>
    <t>Los Algarrobos</t>
  </si>
  <si>
    <t>Llano Sánchez y El Higo</t>
  </si>
  <si>
    <t>GRANDES CLIENTES</t>
  </si>
  <si>
    <t>Super 99</t>
  </si>
  <si>
    <t>Hotel Bijao</t>
  </si>
  <si>
    <t>Macano</t>
  </si>
  <si>
    <t>Los Planetas</t>
  </si>
  <si>
    <t>Panamá Oeste</t>
  </si>
  <si>
    <t>Pedregalito II</t>
  </si>
  <si>
    <t>RP-490</t>
  </si>
  <si>
    <t>----</t>
  </si>
  <si>
    <t>Las Perlas Norte</t>
  </si>
  <si>
    <t>ENSA</t>
  </si>
  <si>
    <t>Las Perlas Sur</t>
  </si>
  <si>
    <t>Panamá</t>
  </si>
  <si>
    <t>6002/6004</t>
  </si>
  <si>
    <t>San Lorenzo</t>
  </si>
  <si>
    <t>Business Park</t>
  </si>
  <si>
    <t>CEMEX</t>
  </si>
  <si>
    <t>El Fraile</t>
  </si>
  <si>
    <t>La Huaca</t>
  </si>
  <si>
    <t>Ricamar</t>
  </si>
  <si>
    <t>Contraloría</t>
  </si>
  <si>
    <t>Sarigua</t>
  </si>
  <si>
    <t>General Mills</t>
  </si>
  <si>
    <t>Rosa de los Vientos</t>
  </si>
  <si>
    <t>Marañón</t>
  </si>
  <si>
    <t>Nuevo Chagres</t>
  </si>
  <si>
    <t>Portobelo</t>
  </si>
  <si>
    <t>Cañitas-Aserradero</t>
  </si>
  <si>
    <t>Panam</t>
  </si>
  <si>
    <t>6059/6060</t>
  </si>
  <si>
    <t>Cemento Panamá</t>
  </si>
  <si>
    <t>TG EGESA</t>
  </si>
  <si>
    <t>Bocas del Toro</t>
  </si>
  <si>
    <t>Miraflores (ACP)</t>
  </si>
  <si>
    <t>6120/6123</t>
  </si>
  <si>
    <t>PTP-Cañazas</t>
  </si>
  <si>
    <t>Miraflores G9 y G10</t>
  </si>
  <si>
    <t>Changuinola</t>
  </si>
  <si>
    <t>BLM Ciclo Combinado</t>
  </si>
  <si>
    <t>BLM Carbón</t>
  </si>
  <si>
    <t>Cativá</t>
  </si>
  <si>
    <t>Termo-Colón Ciclo Combinado</t>
  </si>
  <si>
    <t>2014 - 2015</t>
  </si>
  <si>
    <t>IP SPT P  (kB/.)</t>
  </si>
  <si>
    <t>Bajo Frío</t>
  </si>
  <si>
    <t>San Cristobal</t>
  </si>
  <si>
    <t>6009/6010</t>
  </si>
  <si>
    <t>El Síndigo</t>
  </si>
  <si>
    <t>Caldera</t>
  </si>
  <si>
    <t>MINERA PANAMA</t>
  </si>
  <si>
    <t>Petaquilla</t>
  </si>
  <si>
    <t>6002/6018</t>
  </si>
  <si>
    <t>Asturias</t>
  </si>
  <si>
    <t>Los Plantetas 2</t>
  </si>
  <si>
    <t>Santa María</t>
  </si>
  <si>
    <t>Cañazas</t>
  </si>
  <si>
    <t>Los Estrechos</t>
  </si>
  <si>
    <t>Tizingal</t>
  </si>
  <si>
    <t>Santa María 82</t>
  </si>
  <si>
    <t>Ojo de Agua</t>
  </si>
  <si>
    <t>6036/6018</t>
  </si>
  <si>
    <t>2015 - 2016</t>
  </si>
  <si>
    <t>Burica</t>
  </si>
  <si>
    <t>Bajo de Totuma</t>
  </si>
  <si>
    <t>Las Cruces</t>
  </si>
  <si>
    <t>San Bartolo</t>
  </si>
  <si>
    <t>La Laguna</t>
  </si>
  <si>
    <t>Chuspa</t>
  </si>
  <si>
    <t>Tabasará II</t>
  </si>
  <si>
    <t>La Palma</t>
  </si>
  <si>
    <t>Punta Rincón</t>
  </si>
  <si>
    <t>Río Piedra</t>
  </si>
  <si>
    <t>(Miles de Balboas de 2012)</t>
  </si>
  <si>
    <t>PERIDO TARIFARIO 01/JUL/2013 - 30/JUN/2017</t>
  </si>
  <si>
    <r>
      <rPr>
        <b/>
        <sz val="10"/>
        <color indexed="8"/>
        <rFont val="Times New Roman"/>
        <family val="1"/>
      </rPr>
      <t>* Energía Anual Estimada</t>
    </r>
    <r>
      <rPr>
        <sz val="10"/>
        <color indexed="8"/>
        <rFont val="Times New Roman"/>
        <family val="1"/>
      </rPr>
      <t xml:space="preserve"> (indicativo de demanda) [GWh] =</t>
    </r>
  </si>
  <si>
    <t>2016 - 2017</t>
  </si>
  <si>
    <t>Potrerillos</t>
  </si>
  <si>
    <t>Central de Carbón</t>
  </si>
  <si>
    <t>Telfers</t>
  </si>
  <si>
    <t>Capacidad instalada de generación (Pinst) y Demanda máxima no coincidente prevista anual (Pma) en MW por Zona</t>
  </si>
  <si>
    <t>B/./año</t>
  </si>
  <si>
    <t>CARGOS UNITARIOS SEGÚN TIPO DE AGENTES (B/./kW/mes)</t>
  </si>
  <si>
    <t>Tasa depreciación nuevas inversiones</t>
  </si>
  <si>
    <t>ACTSPT (Activo bruto Sistema Principal) +PG</t>
  </si>
  <si>
    <t>ACTSPTL(Activo bruto SP asignado a la Demanda. Solo parte de ETESA)</t>
  </si>
  <si>
    <t>ACTCT(Activo bruto Conexión)</t>
  </si>
  <si>
    <t>ACTH (Activo bruto Hidro. Remanente)</t>
  </si>
  <si>
    <t>ACTNSPTL(Neto Sistema Principal asignado Demanda)</t>
  </si>
  <si>
    <t>ACTSPTLef (Sistema Principal asignado a la demanda)</t>
  </si>
  <si>
    <t>ACTSPTef (Sistema Principal) (Primer Semestre)</t>
  </si>
  <si>
    <t>ACTSPTef (Sistema Principal) (Segundo Semestre)</t>
  </si>
  <si>
    <t>ACTSPTLef(Asignado a la demanda) (Primer Semestre)</t>
  </si>
  <si>
    <t>ACTSPTLef(Asignado a la demanda) (Segundo Semestre)</t>
  </si>
  <si>
    <t>Sem 1</t>
  </si>
  <si>
    <t>Sem 2</t>
  </si>
  <si>
    <t>Estudio PEST y por gestión de compra de potencia y energía</t>
  </si>
  <si>
    <t>Revisión tarifaria anterior</t>
  </si>
  <si>
    <t>RESUMEN DE CARGOS POR EL SERVICIO DE TRANSMISIÓN</t>
  </si>
  <si>
    <t>JULIO 2013 (CARGOS ACTUALIZADOS AÑO 4)</t>
  </si>
  <si>
    <t>EMPRESAS DISTRIBUIDORAS</t>
  </si>
  <si>
    <t>JULIO-DICIEMBRE</t>
  </si>
  <si>
    <t>EMPRESA DE DISTRIBUCIÓN ELÉCTRICA METRO OESTE, S.A. (EDEMET)</t>
  </si>
  <si>
    <t>Cantidad</t>
  </si>
  <si>
    <t xml:space="preserve">Cargos </t>
  </si>
  <si>
    <t>Débito-SOI</t>
  </si>
  <si>
    <t>Débito Cx</t>
  </si>
  <si>
    <t>EMPRESA DE DISTRIBUCIÓN ELÉCTRICA CHIRIQUÍ, S.A. (EDECHI)</t>
  </si>
  <si>
    <t>EMPRESAS GENERADORAS</t>
  </si>
  <si>
    <t xml:space="preserve">EMPRESA DE GENERACIÓN ELÉCTRICA ENEL FORTUNA, S.A. </t>
  </si>
  <si>
    <t>AES PANAMA, S.A. (AES)</t>
  </si>
  <si>
    <t>BAHIA LAS MINAS CORP. (BLM)</t>
  </si>
  <si>
    <t>PAN-AM GENERATING LIMITED. (PANAM)</t>
  </si>
  <si>
    <t>AUTORIDAD DEL CANAL DE PANAMÁ (ACP)</t>
  </si>
  <si>
    <r>
      <t xml:space="preserve">Capacidad instalada de generación </t>
    </r>
    <r>
      <rPr>
        <sz val="10"/>
        <color indexed="56"/>
        <rFont val="Times New Roman"/>
        <family val="1"/>
      </rPr>
      <t xml:space="preserve">(Pinst) y </t>
    </r>
    <r>
      <rPr>
        <b/>
        <sz val="10"/>
        <color indexed="56"/>
        <rFont val="Times New Roman"/>
        <family val="1"/>
      </rPr>
      <t>Demanda máxima no coincidente</t>
    </r>
    <r>
      <rPr>
        <sz val="10"/>
        <color indexed="56"/>
        <rFont val="Times New Roman"/>
        <family val="1"/>
      </rPr>
      <t xml:space="preserve"> prevista anual (Pma) en MW por Zona</t>
    </r>
  </si>
  <si>
    <t>Factor de Actualización</t>
  </si>
  <si>
    <t>Valor Presente del Ingreso Requerido</t>
  </si>
  <si>
    <t>CAPACIDAD INSTALADA Y DEMANDA MAXIMA NO COINCIDENTE A VPN (MW)</t>
  </si>
  <si>
    <t>Capacidad Instalada Total</t>
  </si>
  <si>
    <t>Demanda Máxima No Coincidente Total</t>
  </si>
  <si>
    <r>
      <t xml:space="preserve">Valor Presente Neto del IMP </t>
    </r>
    <r>
      <rPr>
        <b/>
        <sz val="9"/>
        <rFont val="Arial"/>
        <family val="2"/>
      </rPr>
      <t>(Al 1 de julio de 2013)</t>
    </r>
  </si>
  <si>
    <t xml:space="preserve"> RECURSO DE RECONSIDERACIÓN, RESOLUCIÓN AN No.7046 - Elec de 23 de enero 2013</t>
  </si>
  <si>
    <t>(Miles de Balboas)</t>
  </si>
  <si>
    <t>IMP</t>
  </si>
  <si>
    <t>Julio-Dic/2013</t>
  </si>
  <si>
    <t>Enero</t>
  </si>
  <si>
    <t>Febrero</t>
  </si>
  <si>
    <t>Marzo</t>
  </si>
  <si>
    <t>Abril</t>
  </si>
  <si>
    <t>Mayo</t>
  </si>
  <si>
    <t>Junio</t>
  </si>
  <si>
    <t>Total-Ingreso</t>
  </si>
  <si>
    <t>Dif. Respecto</t>
  </si>
  <si>
    <t>a lo previsto</t>
  </si>
  <si>
    <t>IMP- Aprobado</t>
  </si>
  <si>
    <t>Ingreso Facturado</t>
  </si>
  <si>
    <t>% respecto lo presvisto</t>
  </si>
  <si>
    <t>Observación:</t>
  </si>
  <si>
    <t>Se facturó en el Año Tarifario No. 1 con cargos previstos el monto de B/.10,095,728.22</t>
  </si>
  <si>
    <t>Lo que marca una diferencia de los facturdo Vs lo previsto de 2% que representa B/.227,940.18</t>
  </si>
  <si>
    <t>INGRESO POR CARGOS DE SOI</t>
  </si>
  <si>
    <t>El ingreso por cargos SOI aprobado en el IMP 2013-2017 fue de B/.10,323,668.4</t>
  </si>
  <si>
    <t xml:space="preserve"> (4,246,685.46 50% soy y 50% Cx)</t>
  </si>
  <si>
    <t>Aprobado</t>
  </si>
  <si>
    <t xml:space="preserve"> a recupear en la hoja de Cargos SOI</t>
  </si>
  <si>
    <t>IMP APROBADO 2013-2017 Post Recur 7046</t>
  </si>
  <si>
    <t xml:space="preserve">DIFERENCIAS ENTRE IMP ACTUALIZADO VS IMP APROBADO </t>
  </si>
  <si>
    <t>FACTOR DE AJUSTE POR ÍNDICE DE PRECIOS AL CONSUMIDOR</t>
  </si>
  <si>
    <t>ACTUALIZACIÓN TARIFARIA: AÑO No. 2</t>
  </si>
  <si>
    <t>Fecha base de Cálculo:</t>
  </si>
  <si>
    <r>
      <t xml:space="preserve">IPC </t>
    </r>
    <r>
      <rPr>
        <b/>
        <vertAlign val="subscript"/>
        <sz val="10"/>
        <rFont val="Arial"/>
        <family val="2"/>
      </rPr>
      <t>0</t>
    </r>
  </si>
  <si>
    <t xml:space="preserve"> = </t>
  </si>
  <si>
    <r>
      <t xml:space="preserve">Índice de precios al Consumidor </t>
    </r>
    <r>
      <rPr>
        <b/>
        <sz val="10"/>
        <rFont val="Arial"/>
        <family val="2"/>
      </rPr>
      <t>a la fecha base de cálculo</t>
    </r>
  </si>
  <si>
    <t>Fecha de aplicación de ajuste</t>
  </si>
  <si>
    <r>
      <t xml:space="preserve">IPC </t>
    </r>
    <r>
      <rPr>
        <b/>
        <vertAlign val="subscript"/>
        <sz val="10"/>
        <rFont val="Arial"/>
        <family val="2"/>
      </rPr>
      <t>i</t>
    </r>
  </si>
  <si>
    <t>Índice de Precios al Consumidor a Diciembre n -1</t>
  </si>
  <si>
    <t>Factor de ajuste</t>
  </si>
  <si>
    <r>
      <t xml:space="preserve">IPC </t>
    </r>
    <r>
      <rPr>
        <vertAlign val="subscript"/>
        <sz val="10"/>
        <rFont val="Arial"/>
        <family val="2"/>
      </rPr>
      <t>i</t>
    </r>
  </si>
  <si>
    <r>
      <t xml:space="preserve">IPC </t>
    </r>
    <r>
      <rPr>
        <vertAlign val="subscript"/>
        <sz val="10"/>
        <rFont val="Arial"/>
        <family val="2"/>
      </rPr>
      <t>0</t>
    </r>
  </si>
  <si>
    <t>X</t>
  </si>
  <si>
    <t>+</t>
  </si>
  <si>
    <t>Crecimiento IPC</t>
  </si>
  <si>
    <t>Crecimiento</t>
  </si>
  <si>
    <t>AÑO TARIFARIO No. 2</t>
  </si>
  <si>
    <t>2021-2022</t>
  </si>
  <si>
    <t>2022-2023</t>
  </si>
  <si>
    <t>Base=2013</t>
  </si>
  <si>
    <t>Base=2002</t>
  </si>
  <si>
    <t>Variación Porcentual 2017/2016</t>
  </si>
  <si>
    <t>Base=2018</t>
  </si>
  <si>
    <t>Variación Porcentual 2018/2017</t>
  </si>
  <si>
    <t>Base=2019</t>
  </si>
  <si>
    <t>Variación Porcentual 2018/2019</t>
  </si>
  <si>
    <t>Base=2020</t>
  </si>
  <si>
    <t>Variación Porcentual 2019/2020</t>
  </si>
  <si>
    <t>Base=2022</t>
  </si>
  <si>
    <t>Variación Porcentual 2021/2022</t>
  </si>
  <si>
    <t>enero</t>
  </si>
  <si>
    <t>febrero</t>
  </si>
  <si>
    <t>marzo</t>
  </si>
  <si>
    <t>abril</t>
  </si>
  <si>
    <t>mayo</t>
  </si>
  <si>
    <t>junio</t>
  </si>
  <si>
    <t>julio</t>
  </si>
  <si>
    <t>agosto</t>
  </si>
  <si>
    <t>septiembre</t>
  </si>
  <si>
    <t>octubre</t>
  </si>
  <si>
    <t>noviembre</t>
  </si>
  <si>
    <t>diciembre</t>
  </si>
  <si>
    <t>IMP EXISTENTE TOTAL</t>
  </si>
  <si>
    <t>jul24-jun25</t>
  </si>
  <si>
    <t>jul23-jun24</t>
  </si>
  <si>
    <t>jul22-jun23</t>
  </si>
  <si>
    <t>jul21-jun22</t>
  </si>
  <si>
    <t>VPN</t>
  </si>
  <si>
    <t>VPN del IMP (Año Tarifario) (A comienzos del período tarifario)</t>
  </si>
  <si>
    <t>IPSPED. EXISTENTE. CONSTANTE</t>
  </si>
  <si>
    <t>IPSPEGyD. EXISTENTE. CONSTANTE</t>
  </si>
  <si>
    <t>IPSPED. EXISTENTE</t>
  </si>
  <si>
    <t>IPSPEGyD. EXISTENTE</t>
  </si>
  <si>
    <t>VNA</t>
  </si>
  <si>
    <t>Compensación Subestación Burunga</t>
  </si>
  <si>
    <t>Crédito por Restricción Tercera Línea</t>
  </si>
  <si>
    <t xml:space="preserve">estudio SPT según resolucion en 3 cuotas, gesstión de compra. </t>
  </si>
  <si>
    <t>Valores Expresados en Miles de Balboas</t>
  </si>
  <si>
    <t>ACTEDef (Sistema Principal + PG). Asignado a D</t>
  </si>
  <si>
    <t>ACTEGyDef (Sistema Principal + PG). Asignado a G y D</t>
  </si>
  <si>
    <t>ACTIVOS EXISTENTES (al final del año)</t>
  </si>
  <si>
    <t>ACTIVOS EFICIENTES (VNR)</t>
  </si>
  <si>
    <t>ACTNTC (Activo Neto Conexión)</t>
  </si>
  <si>
    <t>ACTNSPTL (Activo Neto Sistema Principal) + PG. Asignado a D</t>
  </si>
  <si>
    <t>ACTNSPT (Activo Neto Sistema Principal) + PG. Asignado a G y D</t>
  </si>
  <si>
    <t>ACTCT (Activo bruto Conexión)</t>
  </si>
  <si>
    <t>ACTSPTL (Activo bruto Sistema Principal) + PG. Asignado a D</t>
  </si>
  <si>
    <t>ACTSPT (Activo bruto Sistema Principal) + PG. Asignado a G y D</t>
  </si>
  <si>
    <t>ACTIVOS EXISTENTES (al final del año calendario)</t>
  </si>
  <si>
    <t>ACTIVOS RECONOCIDOS</t>
  </si>
  <si>
    <t>Miles de Balboas - 1° de julio de 2021</t>
  </si>
  <si>
    <t>PERIODO (1° DE JULIO A DICIEMBRE 2021)</t>
  </si>
  <si>
    <t>2021-2023</t>
  </si>
  <si>
    <t>2022-2024</t>
  </si>
  <si>
    <t>(Miles de Balboas a precios del año 2021)</t>
  </si>
  <si>
    <t>AÑO TARIFARIO No. 1</t>
  </si>
  <si>
    <t>AÑO TARIFARIO No. 3</t>
  </si>
  <si>
    <t>AÑO TARIFARIO No. 4</t>
  </si>
  <si>
    <t>IPSPA: Nuevas Inversiones (por Estampilla Postal)</t>
  </si>
  <si>
    <t>IPSPEGyD  (k B/.)</t>
  </si>
  <si>
    <t>IPSPAGyD:</t>
  </si>
  <si>
    <t>(k B/.)</t>
  </si>
  <si>
    <r>
      <rPr>
        <b/>
        <i/>
        <sz val="10"/>
        <color indexed="63"/>
        <rFont val="Times New Roman"/>
        <family val="1"/>
      </rPr>
      <t>Energía Estimada</t>
    </r>
    <r>
      <rPr>
        <i/>
        <sz val="10"/>
        <color indexed="63"/>
        <rFont val="Times New Roman"/>
        <family val="1"/>
      </rPr>
      <t xml:space="preserve"> (indicativo demanda) =</t>
    </r>
  </si>
  <si>
    <t>(GWh)</t>
  </si>
  <si>
    <t>IPSPED (k B/.):</t>
  </si>
  <si>
    <t>IPSPAD:</t>
  </si>
  <si>
    <t>Generación =</t>
  </si>
  <si>
    <t>ZONA</t>
  </si>
  <si>
    <t xml:space="preserve">   Capacidad Instalada  (MW)</t>
  </si>
  <si>
    <t xml:space="preserve">   Demanda Máxima No Coincidente  (MW)</t>
  </si>
  <si>
    <t>max</t>
  </si>
  <si>
    <t>Progreso (34-41/42)</t>
  </si>
  <si>
    <t>La Potra</t>
  </si>
  <si>
    <t>Salsipuedes</t>
  </si>
  <si>
    <t xml:space="preserve">San Andrés </t>
  </si>
  <si>
    <t>Sol de David</t>
  </si>
  <si>
    <t>Solar Caldera</t>
  </si>
  <si>
    <t>PHOTOVOLTAICS INVESTMENTS</t>
  </si>
  <si>
    <t>PHOTOVOLTAICS DEVELOPMENTS</t>
  </si>
  <si>
    <t>Progreso Solar 20MW, S.A.</t>
  </si>
  <si>
    <t>Generadora Solar Austral, S.A.</t>
  </si>
  <si>
    <t>Parque fot Econer San Juan</t>
  </si>
  <si>
    <t>Progreso Energy</t>
  </si>
  <si>
    <t>Generadora Solar el Puerto, S.A.</t>
  </si>
  <si>
    <t xml:space="preserve">Mata Nance 34-10/11/15 </t>
  </si>
  <si>
    <t xml:space="preserve"> Agua FUERTE, S.A.</t>
  </si>
  <si>
    <t xml:space="preserve"> PHOTOVOLTAICS VENTURE CORP.</t>
  </si>
  <si>
    <t>S/E Chiriqui</t>
  </si>
  <si>
    <t>PHOTOVOLTAICS OPERATION CORP.</t>
  </si>
  <si>
    <t>Mata Nance 34-10/11/15 - S/E San Cristobal</t>
  </si>
  <si>
    <t>PHOTOVOLTAICS BUSINESS CORP.</t>
  </si>
  <si>
    <t>Varela (Fábrica de Pesé)</t>
  </si>
  <si>
    <t>sunstar</t>
  </si>
  <si>
    <t>Llano Sánchez - El Higo</t>
  </si>
  <si>
    <t>MINERA PANAMá</t>
  </si>
  <si>
    <t>Minera Panamá</t>
  </si>
  <si>
    <t>CELSOLAR, S.A.</t>
  </si>
  <si>
    <t>Cemento Interoceánico</t>
  </si>
  <si>
    <t>Panamá 2</t>
  </si>
  <si>
    <t>24 de Diciembre</t>
  </si>
  <si>
    <t>AVIPAC</t>
  </si>
  <si>
    <t>Embajada de Estados Unidos</t>
  </si>
  <si>
    <t>CSS (CHAAM)</t>
  </si>
  <si>
    <t>Varela (Cía. Panameña de Licores)</t>
  </si>
  <si>
    <t xml:space="preserve">Pando </t>
  </si>
  <si>
    <t>Bugaba I</t>
  </si>
  <si>
    <t>Bugaba II</t>
  </si>
  <si>
    <t>Bayano (Cañitas-Aserradero)</t>
  </si>
  <si>
    <t>Bajo del Totumo</t>
  </si>
  <si>
    <t>Los Planetas II</t>
  </si>
  <si>
    <t>Solar Chiriqui</t>
  </si>
  <si>
    <t xml:space="preserve">Las Cruces </t>
  </si>
  <si>
    <t>Solar Bugaba</t>
  </si>
  <si>
    <t>Argos Panamá, S.A.</t>
  </si>
  <si>
    <t>La Cuchilla</t>
  </si>
  <si>
    <t>ECO GROOVE INVESTMENT, INC.</t>
  </si>
  <si>
    <t>Gas Natural Atlántico</t>
  </si>
  <si>
    <t>SOLAR BOQUERON S.A.</t>
  </si>
  <si>
    <t>Tecnisol I, S.A.</t>
  </si>
  <si>
    <t>Tecnisol II, S.A.</t>
  </si>
  <si>
    <t>Tecnisol III, S.A.</t>
  </si>
  <si>
    <t>Tecnisol IV, S.A.</t>
  </si>
  <si>
    <t xml:space="preserve">OER (Changuinola) </t>
  </si>
  <si>
    <t>Caoba Solar</t>
  </si>
  <si>
    <t>Cedro Solar</t>
  </si>
  <si>
    <t>Central Azucarero de Alanje, S.A.</t>
  </si>
  <si>
    <t>Pedregalito I Unidad 4</t>
  </si>
  <si>
    <t>Pedregalito II  Unidad 3</t>
  </si>
  <si>
    <t>RP-550</t>
  </si>
  <si>
    <t>Andreas Power Energy, S.A</t>
  </si>
  <si>
    <t>ECOENER FOTOVOLTAICA PANAMA</t>
  </si>
  <si>
    <t>HP Solar, S.A.</t>
  </si>
  <si>
    <t xml:space="preserve"> ECOENER RENOVABLE PANAMA, S.A</t>
  </si>
  <si>
    <t>SOLAR DESIGN</t>
  </si>
  <si>
    <t>El Fraile Und 3</t>
  </si>
  <si>
    <t>Don Felix</t>
  </si>
  <si>
    <t>Don Felix Et2</t>
  </si>
  <si>
    <t>Solar Divisa</t>
  </si>
  <si>
    <t>Farrallon Solar</t>
  </si>
  <si>
    <t>Cocle Solar</t>
  </si>
  <si>
    <t>El Fraile Solar 1</t>
  </si>
  <si>
    <t>Solar Cocle</t>
  </si>
  <si>
    <t>Solar Paris</t>
  </si>
  <si>
    <t>Solar Los Angeles</t>
  </si>
  <si>
    <t>Sol Real</t>
  </si>
  <si>
    <t>El Espinal</t>
  </si>
  <si>
    <t>Vista Alegre</t>
  </si>
  <si>
    <t>Milton Solar</t>
  </si>
  <si>
    <t>Rosa de los vientos</t>
  </si>
  <si>
    <t>Nuevo Chagres 2</t>
  </si>
  <si>
    <t>Rosa de los Vientos Etapa II</t>
  </si>
  <si>
    <t>Pocri</t>
  </si>
  <si>
    <t>Estrella Solar</t>
  </si>
  <si>
    <t>PANASOLAR</t>
  </si>
  <si>
    <t>SOLAR DEVELOPMENT PANAMÁ</t>
  </si>
  <si>
    <t xml:space="preserve">Parque Solar Penonomé </t>
  </si>
  <si>
    <t>Mayorca Solar (AES)</t>
  </si>
  <si>
    <t>Solar Pesé (AES)</t>
  </si>
  <si>
    <t>Jagüito Solar 10 MW, S.A.</t>
  </si>
  <si>
    <t>Daconan Star Solar, S.A.</t>
  </si>
  <si>
    <t>Empresa de Generación Eléctrica, S.A.</t>
  </si>
  <si>
    <t>Parque eolico Toabre</t>
  </si>
  <si>
    <t>El Fraile II</t>
  </si>
  <si>
    <t>AES Panamá S.R.L</t>
  </si>
  <si>
    <t>ARGENTUM SOLAR S.A.</t>
  </si>
  <si>
    <t>Progresovidencia Solar 1, S.A.</t>
  </si>
  <si>
    <t>Farallón Solar 2, S.A.</t>
  </si>
  <si>
    <t>PANASOLAR GREEN ENERGY, CORP.</t>
  </si>
  <si>
    <t>PANASOLAR GREEN POWER, S.A.</t>
  </si>
  <si>
    <t>GED Gersol Uno, S.A.</t>
  </si>
  <si>
    <t>SOLAR ENERGY PARK ENTERPRISES, INC.</t>
  </si>
  <si>
    <t>ORO SOLAR, S.A.</t>
  </si>
  <si>
    <t>MEGA SOLAR POWER GENERATION, S.A.</t>
  </si>
  <si>
    <t xml:space="preserve"> MERCURIO SOLAR, S.A.</t>
  </si>
  <si>
    <t>SUNERGY, I S.A.</t>
  </si>
  <si>
    <t>Concepto Solar</t>
  </si>
  <si>
    <t>Electricidad Solar, S. A.</t>
  </si>
  <si>
    <t xml:space="preserve"> MASPV PANAMA INC.</t>
  </si>
  <si>
    <t>Miraflores</t>
  </si>
  <si>
    <t>URBALIA Cerro Patacon</t>
  </si>
  <si>
    <t>Generación Solar, S.A.</t>
  </si>
  <si>
    <t>Solpac Investment, S.A.</t>
  </si>
  <si>
    <t xml:space="preserve">BLM </t>
  </si>
  <si>
    <t>Costa Norte</t>
  </si>
  <si>
    <t>TROPITÉRMICA</t>
  </si>
  <si>
    <t>Sparkle Power, S. A.</t>
  </si>
  <si>
    <t>C.T. Gatún (antes Telfers)</t>
  </si>
  <si>
    <t>2023-2024</t>
  </si>
  <si>
    <t>2024-2025</t>
  </si>
  <si>
    <t>PERIODO TARIFARIO 2021 - 2025  (Resolución An No. 17825-Elec)</t>
  </si>
  <si>
    <t xml:space="preserve">PARÁMETROS Y VALORES UTILIZADOS EN EL CÁLCULO DEL INGRESO MÁXIMO PERMITIDO </t>
  </si>
  <si>
    <t>PARÁMETROS IMP</t>
  </si>
  <si>
    <t>Factor Ajuste</t>
  </si>
  <si>
    <t xml:space="preserve">INGRESOS MÁXIMOS PERMITIDOS </t>
  </si>
  <si>
    <t>Activos existentes asignados a Generación y Demanda</t>
  </si>
  <si>
    <t>Activos existentes asignados 100% a la Demanda</t>
  </si>
  <si>
    <t>resta cuota fija por año calendario</t>
  </si>
  <si>
    <t>SERVICIO DE OPERACIÓN INTEGRADA (SOI)</t>
  </si>
  <si>
    <t>INGRESO ANUAL PERMITIDO EXISTENTE (Año Tarifario)</t>
  </si>
  <si>
    <t>INGRESO ANUAL PERMITIDO (Año Tarifario)</t>
  </si>
  <si>
    <t>SISTEMA PRINCIPAL Asignado a G y D - IPSPEGyD. EXISTENTE</t>
  </si>
  <si>
    <t>SISTEMA PRINCIPAL Asignado a D - IPSPED. EXISTENTE</t>
  </si>
  <si>
    <t>SERVICIO DE OPERACIÓN INTEGRADA - Centro Nacional de Despacho</t>
  </si>
  <si>
    <t>SERVICIO DE OPERACIÓN INTEGRADA- Centro Nacional de Despacho</t>
  </si>
  <si>
    <t>INGRESO ANUAL PERMITIDO (Año Tarifario) incluye ajustes</t>
  </si>
  <si>
    <t>Ingreso permitido IPSPA Año Tarifario 1 - asignado a la G</t>
  </si>
  <si>
    <t>Ingreso permitido IPSPA Año Tarifario 1 - asignado a la D</t>
  </si>
  <si>
    <t xml:space="preserve">Ajuste IPSOI </t>
  </si>
  <si>
    <t>SOI TOTAL</t>
  </si>
  <si>
    <t>Capacidad Instalada Prevista (MW)</t>
  </si>
  <si>
    <t>Año Tarifario 1</t>
  </si>
  <si>
    <t>Año Tarifario 2</t>
  </si>
  <si>
    <t>Año Tarifario 3</t>
  </si>
  <si>
    <t>Año Tarifario 4</t>
  </si>
  <si>
    <t>Nombre de las Generadoras</t>
  </si>
  <si>
    <t>Empresa</t>
  </si>
  <si>
    <t>Tecnologia</t>
  </si>
  <si>
    <t xml:space="preserve">Conexión </t>
  </si>
  <si>
    <t>Agente Conectado</t>
  </si>
  <si>
    <t>linea</t>
  </si>
  <si>
    <t>1/julio/2021-30/junio/2022</t>
  </si>
  <si>
    <t>1/julio/2022-30/junio/2023</t>
  </si>
  <si>
    <t>1/julio/2023-30/junio/2024</t>
  </si>
  <si>
    <t>1/julio/2024-30/junio/2025</t>
  </si>
  <si>
    <t>Fecha de Entrada</t>
  </si>
  <si>
    <t>Fuente</t>
  </si>
  <si>
    <t>IDEAL PANAMÁ, S.A.</t>
  </si>
  <si>
    <t>Hidro</t>
  </si>
  <si>
    <t>Directo</t>
  </si>
  <si>
    <t>ETESA</t>
  </si>
  <si>
    <t>S/E Progreso</t>
  </si>
  <si>
    <t>fountain hydro power corp</t>
  </si>
  <si>
    <t>Indirecto</t>
  </si>
  <si>
    <t>S/E Baitun</t>
  </si>
  <si>
    <t>*Madre Vieja</t>
  </si>
  <si>
    <t>Solar</t>
  </si>
  <si>
    <t>Plan de expansión 2022</t>
  </si>
  <si>
    <t>* BACO Solar– (en construcción)</t>
  </si>
  <si>
    <t>DESARROLLOS HIDROELECTRICOS CORP.</t>
  </si>
  <si>
    <t>NATURGY</t>
  </si>
  <si>
    <t>S/E Dominical</t>
  </si>
  <si>
    <t>*Sol de David</t>
  </si>
  <si>
    <t>SOL REAL ISTMO, S.A.</t>
  </si>
  <si>
    <t>S/E MDN</t>
  </si>
  <si>
    <t>GG-076-2021</t>
  </si>
  <si>
    <t>*Solar Caldera</t>
  </si>
  <si>
    <t xml:space="preserve">*Fotovoltaica Ecosolar </t>
  </si>
  <si>
    <t xml:space="preserve">*Fotovoltaica Ecosolar 2 </t>
  </si>
  <si>
    <t>*La Esperanza solar</t>
  </si>
  <si>
    <t>Progreso solar 20MW, s.a.</t>
  </si>
  <si>
    <t>GG-03-2020</t>
  </si>
  <si>
    <t xml:space="preserve"> Agua FUERTE, S.A. </t>
  </si>
  <si>
    <t xml:space="preserve"> *PHOTOVOLTAICS VENTURE CORP. </t>
  </si>
  <si>
    <t xml:space="preserve"> PHOTOVOLTAICS VENTURE CORP. </t>
  </si>
  <si>
    <t xml:space="preserve">*PHOTOVOLTAICS OPERATION CORP. </t>
  </si>
  <si>
    <t xml:space="preserve">PHOTOVOLTAICS OPERATION CORP. </t>
  </si>
  <si>
    <t xml:space="preserve">*PHOTOVOLTAICS BUSINESS CORP. </t>
  </si>
  <si>
    <t xml:space="preserve">PHOTOVOLTAICS BUSINESS CORP. </t>
  </si>
  <si>
    <t>(E) Parque fot Econer San Juan</t>
  </si>
  <si>
    <t xml:space="preserve">ECOENER FOTOVOLTAICA PANAMA </t>
  </si>
  <si>
    <t xml:space="preserve">(E)Progreso Energy </t>
  </si>
  <si>
    <t>Fortuna S.A.</t>
  </si>
  <si>
    <t>S/E Fortuna</t>
  </si>
  <si>
    <t xml:space="preserve">Estí </t>
  </si>
  <si>
    <t xml:space="preserve">AES Panama </t>
  </si>
  <si>
    <t>Carta dirigida al CND AES-DC-276-22</t>
  </si>
  <si>
    <t>Bontex</t>
  </si>
  <si>
    <t>S/E Guasquitas</t>
  </si>
  <si>
    <t>ALTERNEGY, S.A.</t>
  </si>
  <si>
    <t>GG-57-2011</t>
  </si>
  <si>
    <t>*Solar Prudencia</t>
  </si>
  <si>
    <t>GG-091-2019</t>
  </si>
  <si>
    <t>CALDERA ENERGY CORP.</t>
  </si>
  <si>
    <t>GG-98-2009</t>
  </si>
  <si>
    <t>Generadora  Alto Valle S.A.</t>
  </si>
  <si>
    <t>electrogeneradora del istmo, s.a.</t>
  </si>
  <si>
    <t>GG-054-2012</t>
  </si>
  <si>
    <t>Algarrobos</t>
  </si>
  <si>
    <t>ESEPSA</t>
  </si>
  <si>
    <t>GG-85-2009</t>
  </si>
  <si>
    <t>Electron Investment, S.A.</t>
  </si>
  <si>
    <t>SIEPAC</t>
  </si>
  <si>
    <t>Hydro Caisan, S.A.</t>
  </si>
  <si>
    <t>GG-049-2013</t>
  </si>
  <si>
    <t>GENISA</t>
  </si>
  <si>
    <t>230-40</t>
  </si>
  <si>
    <t>GG-042-2013</t>
  </si>
  <si>
    <t>BIOMASA</t>
  </si>
  <si>
    <t>S/E Boqeron 3</t>
  </si>
  <si>
    <t>*Central Solar La Hueca</t>
  </si>
  <si>
    <t xml:space="preserve">SOLAR DESIGN  </t>
  </si>
  <si>
    <r>
      <t>Istmus Hydro Power, Corp.</t>
    </r>
    <r>
      <rPr>
        <sz val="11"/>
        <color theme="1"/>
        <rFont val="Times New Roman"/>
        <family val="1"/>
      </rPr>
      <t>, S.A.</t>
    </r>
  </si>
  <si>
    <t>S/E Concepcion</t>
  </si>
  <si>
    <t>hidro boqueron, s.a.</t>
  </si>
  <si>
    <t>GG-039-2011 Enmienda 3</t>
  </si>
  <si>
    <t>Paso Ancho Hydro Power Corporation</t>
  </si>
  <si>
    <t>GG-073-2010</t>
  </si>
  <si>
    <t xml:space="preserve">Pedregalito + Pedregalito I Unidad 4 </t>
  </si>
  <si>
    <t>Generadora Pedregalito</t>
  </si>
  <si>
    <t xml:space="preserve">Pedregalito II + Pedregalito II  Unidad 3 </t>
  </si>
  <si>
    <t>Hidro Piedra S.A.</t>
  </si>
  <si>
    <t>Las Perlas Norte, S.A.</t>
  </si>
  <si>
    <t>Las Perlas Sur, S.A.</t>
  </si>
  <si>
    <t>Hidro Electrica San Lorenzo, S.A</t>
  </si>
  <si>
    <t>Empresa Nacional de Energia , S.A.</t>
  </si>
  <si>
    <t>S/E el porvenir</t>
  </si>
  <si>
    <t xml:space="preserve">Bugaba II </t>
  </si>
  <si>
    <t>EMNADESA</t>
  </si>
  <si>
    <t>Bajo del Totuma</t>
  </si>
  <si>
    <t>Hidroelectrica Bajo del totumo, S.A.</t>
  </si>
  <si>
    <t>GG-058-2016</t>
  </si>
  <si>
    <t xml:space="preserve">Los Planetas II </t>
  </si>
  <si>
    <t>Fuerza Eléctrica del Istmo, S.A.</t>
  </si>
  <si>
    <t>S/E Valbuena</t>
  </si>
  <si>
    <t>GG-180-2016</t>
  </si>
  <si>
    <t>*Solar Chiriquí</t>
  </si>
  <si>
    <t>Corporacion de energia del istmo</t>
  </si>
  <si>
    <t>S/E San Bartolo</t>
  </si>
  <si>
    <t>GG-067-2014</t>
  </si>
  <si>
    <t>* Ikako</t>
  </si>
  <si>
    <t>*Ikako I</t>
  </si>
  <si>
    <t xml:space="preserve">Tecnisol II, S.A. </t>
  </si>
  <si>
    <t>* Ikako II</t>
  </si>
  <si>
    <t>* Ikako III</t>
  </si>
  <si>
    <t xml:space="preserve">*Caoba Solar </t>
  </si>
  <si>
    <t>GG-105-2020</t>
  </si>
  <si>
    <t>*Cedro Solar</t>
  </si>
  <si>
    <t>GG-065-2022</t>
  </si>
  <si>
    <t xml:space="preserve">*HP Solar, S.A. </t>
  </si>
  <si>
    <t xml:space="preserve">HP Solar, S.A. </t>
  </si>
  <si>
    <t>No se debe considerar esta fuera del periodo</t>
  </si>
  <si>
    <t xml:space="preserve"> *ECOENER RENOVABLE PANAMA, S.A</t>
  </si>
  <si>
    <t>(E) Los Planetas</t>
  </si>
  <si>
    <t>Salto de Francoli S.A.</t>
  </si>
  <si>
    <t xml:space="preserve">(E)Macho de Monte </t>
  </si>
  <si>
    <t>S/E El Porvenir</t>
  </si>
  <si>
    <t xml:space="preserve">(E)Dolega </t>
  </si>
  <si>
    <t>*(E)Solar Bugaba</t>
  </si>
  <si>
    <t>GG-110-2002 Enmienda 4</t>
  </si>
  <si>
    <t>*(E)Macano Solar</t>
  </si>
  <si>
    <t xml:space="preserve">SOLAR BOQUERON S.A. </t>
  </si>
  <si>
    <t>S/E Boqueron</t>
  </si>
  <si>
    <t>Hidroelectrica Macano II, S.A.</t>
  </si>
  <si>
    <t>(E)Andreas Power</t>
  </si>
  <si>
    <t xml:space="preserve">*ECOENER FOTOVOLTAICA PANAMA </t>
  </si>
  <si>
    <t>El Fraile + El Fraile Und 3</t>
  </si>
  <si>
    <t>Hidroibérica S.A</t>
  </si>
  <si>
    <t>S/E Llano Sanchez</t>
  </si>
  <si>
    <t xml:space="preserve">**Nuevo Chagres </t>
  </si>
  <si>
    <t>Eolica</t>
  </si>
  <si>
    <t>S/E El Coco</t>
  </si>
  <si>
    <t xml:space="preserve">**Marañón </t>
  </si>
  <si>
    <t>UNIÓN EÓLICA PANAMEÑA, S.A.</t>
  </si>
  <si>
    <t xml:space="preserve">**Rosa de los vientos  </t>
  </si>
  <si>
    <t xml:space="preserve">**Nuevo Chagres 2 </t>
  </si>
  <si>
    <t>UEP PENONOME III,S.A.</t>
  </si>
  <si>
    <t xml:space="preserve">**Portobelo </t>
  </si>
  <si>
    <t xml:space="preserve">**Rosa de los Vientos Etapa II </t>
  </si>
  <si>
    <t xml:space="preserve">(p)Central Termoelectrica Cobre Panama (Autogenerador)  </t>
  </si>
  <si>
    <t xml:space="preserve">Minera Panamá S.A. </t>
  </si>
  <si>
    <t>Termo</t>
  </si>
  <si>
    <t xml:space="preserve">*Parque Solar Penonomé </t>
  </si>
  <si>
    <t>Avanzalia Panama S.A.</t>
  </si>
  <si>
    <t xml:space="preserve">**Parque eólico Toabre </t>
  </si>
  <si>
    <t>Parque eólico Toabre S.A.</t>
  </si>
  <si>
    <t>*Don Felix + Don Felix Et2</t>
  </si>
  <si>
    <t>LLANO SANCHEZ SOLAR POWER, S.A.</t>
  </si>
  <si>
    <t>*Solar Divisa</t>
  </si>
  <si>
    <t>Divisa Solar 10 MW, S.A.</t>
  </si>
  <si>
    <t>GG-154-2014</t>
  </si>
  <si>
    <t xml:space="preserve">*Farallón Solar </t>
  </si>
  <si>
    <t>S/E El Higo</t>
  </si>
  <si>
    <t>G-120-2015</t>
  </si>
  <si>
    <t xml:space="preserve">*Coclé Solar  </t>
  </si>
  <si>
    <t>Azucarera Nacional S.A.</t>
  </si>
  <si>
    <t>S/E Boqueron 3</t>
  </si>
  <si>
    <t>GG-018-2020</t>
  </si>
  <si>
    <t>*Solar Cocle</t>
  </si>
  <si>
    <t>Solar Cocle Venture, S.A.</t>
  </si>
  <si>
    <t>S/E Divisa</t>
  </si>
  <si>
    <t>GG-097-2014</t>
  </si>
  <si>
    <t>*Solar Paris</t>
  </si>
  <si>
    <t>Solar Panama Venture, S.A.</t>
  </si>
  <si>
    <t>S/E Los Santos</t>
  </si>
  <si>
    <t>GG-066-2014</t>
  </si>
  <si>
    <t>*Solar Los Angeles</t>
  </si>
  <si>
    <t>Solar Azuero Venture, S.A.</t>
  </si>
  <si>
    <t xml:space="preserve">*Sol Real </t>
  </si>
  <si>
    <t>ENEL SOLAR, S.R.L.</t>
  </si>
  <si>
    <t xml:space="preserve">*El Espinal </t>
  </si>
  <si>
    <t>PSZ1</t>
  </si>
  <si>
    <t xml:space="preserve">*Vista Alegre </t>
  </si>
  <si>
    <t>*Milton Solar</t>
  </si>
  <si>
    <t xml:space="preserve">*Pocrí </t>
  </si>
  <si>
    <t>PanamaSolar2, S.A.</t>
  </si>
  <si>
    <t>S/E Pocri</t>
  </si>
  <si>
    <t>*PANASOLAR</t>
  </si>
  <si>
    <t>PANASOLAR GENERATION, S.A.</t>
  </si>
  <si>
    <t>GG-097-2016</t>
  </si>
  <si>
    <t>*Mayorca Solar (AES)</t>
  </si>
  <si>
    <t>AES PANAMA, S.R.L.</t>
  </si>
  <si>
    <t>S/E Las Tablas</t>
  </si>
  <si>
    <t>GG-082-2020</t>
  </si>
  <si>
    <t>*Solar Pesé (AES)</t>
  </si>
  <si>
    <t>GG-079-2020</t>
  </si>
  <si>
    <t>* Proyecto Fototvoltaico Jaguito solar</t>
  </si>
  <si>
    <t>GG-063-2018</t>
  </si>
  <si>
    <t xml:space="preserve">El Fraile II </t>
  </si>
  <si>
    <t>Hidroiberica, S.A.</t>
  </si>
  <si>
    <t xml:space="preserve">* Los santos solar </t>
  </si>
  <si>
    <t>*Soná Solar</t>
  </si>
  <si>
    <t xml:space="preserve">ARGENTUM SOLAR S.A. </t>
  </si>
  <si>
    <t xml:space="preserve">*Progresovidencia Solar 1 </t>
  </si>
  <si>
    <t xml:space="preserve">Progresovidencia Solar 1, S.A. </t>
  </si>
  <si>
    <t>*fotovoltaica Farallon Solar 2</t>
  </si>
  <si>
    <t>*Llano Sanchez</t>
  </si>
  <si>
    <t xml:space="preserve">*SOLAR ENERGY PARK ENTERPRISES, INC. </t>
  </si>
  <si>
    <t xml:space="preserve">SOLAR ENERGY PARK ENTERPRISES, INC. </t>
  </si>
  <si>
    <t>*Oro solar</t>
  </si>
  <si>
    <t xml:space="preserve">ORO SOLAR, S.A. </t>
  </si>
  <si>
    <t xml:space="preserve">*MEGA SOLAR POWER GENERATION, S.A. </t>
  </si>
  <si>
    <t xml:space="preserve">MEGA SOLAR POWER GENERATION, S.A. </t>
  </si>
  <si>
    <t>*San Carlos Solar</t>
  </si>
  <si>
    <t xml:space="preserve">MERCURIO SOLAR, S.A. </t>
  </si>
  <si>
    <t>*La villa solar</t>
  </si>
  <si>
    <t xml:space="preserve">*(E)El Fraile Solar 1 </t>
  </si>
  <si>
    <t xml:space="preserve">Hidroibérica S.A. </t>
  </si>
  <si>
    <t xml:space="preserve">*Estrella Solar </t>
  </si>
  <si>
    <t>*fotovoltaica SANTIAGO GEN</t>
  </si>
  <si>
    <t xml:space="preserve">SOLAR DEVELOPMENT PANAMÁ </t>
  </si>
  <si>
    <t xml:space="preserve">*(E)Daconan Solar </t>
  </si>
  <si>
    <t>*(E)TG4</t>
  </si>
  <si>
    <t xml:space="preserve">Empresa de Generación Eléctrica, S.A. </t>
  </si>
  <si>
    <t xml:space="preserve"> </t>
  </si>
  <si>
    <t>*Panasolar II</t>
  </si>
  <si>
    <t xml:space="preserve">*Panasolar III </t>
  </si>
  <si>
    <t>PAN-AM THERMAL GENERATING LIMITED.</t>
  </si>
  <si>
    <t>S/E Chorrera</t>
  </si>
  <si>
    <t>GG-34-2000</t>
  </si>
  <si>
    <t>(E) Antón</t>
  </si>
  <si>
    <t>Hidro Panamá, s.a.</t>
  </si>
  <si>
    <t>*(E)Bejuco Solar</t>
  </si>
  <si>
    <t>Concepto Solar S.A.</t>
  </si>
  <si>
    <t>S/E Capira</t>
  </si>
  <si>
    <t xml:space="preserve">*(E)Mendosa solar. </t>
  </si>
  <si>
    <t xml:space="preserve">Electricidad Solar, S. A. </t>
  </si>
  <si>
    <t xml:space="preserve">(E)MASPV SUNRISE </t>
  </si>
  <si>
    <t>MASPV PANAMA INC.</t>
  </si>
  <si>
    <t xml:space="preserve">Miraflores  </t>
  </si>
  <si>
    <t>AUTORIDAD DEL CANAL DE PANAMA</t>
  </si>
  <si>
    <t>S/E Caceres</t>
  </si>
  <si>
    <t>GG-48-2003</t>
  </si>
  <si>
    <t>Pedregal Power S.A.</t>
  </si>
  <si>
    <t>S/E Panama 2</t>
  </si>
  <si>
    <t xml:space="preserve">no se a firmado contrato </t>
  </si>
  <si>
    <t>URBALIA Cerro Patacón</t>
  </si>
  <si>
    <t>Urbalia Panama  S.A.</t>
  </si>
  <si>
    <t>S/E Santa Maria</t>
  </si>
  <si>
    <t>*(E)Fotovoltaica zona franca de albrook.</t>
  </si>
  <si>
    <t>Generación Solar, S.A</t>
  </si>
  <si>
    <t xml:space="preserve">*(E)Pacora 2. </t>
  </si>
  <si>
    <t xml:space="preserve">Solpac Investment, S.A. </t>
  </si>
  <si>
    <t>S/E Pacora</t>
  </si>
  <si>
    <t>BAHIA LAS MINAS CORP.</t>
  </si>
  <si>
    <t>S/E BLM2</t>
  </si>
  <si>
    <t>Enmienda 2 (GG-10-03)</t>
  </si>
  <si>
    <t>CELSIA CENTROAMERICA, S.A</t>
  </si>
  <si>
    <t>S/E BLM1</t>
  </si>
  <si>
    <t>GG-136-2019 NOTA INE-2022-003</t>
  </si>
  <si>
    <t>GENRADORA DEL ATLANTICO, S.A.</t>
  </si>
  <si>
    <t>S/E Santa Rita</t>
  </si>
  <si>
    <t>Gas Natural Atlantico, S. DE. R.L.</t>
  </si>
  <si>
    <t>S/E Cristobal</t>
  </si>
  <si>
    <t>TROPITÉRMICA S.A.</t>
  </si>
  <si>
    <t>S/E Monte Esperanza</t>
  </si>
  <si>
    <t>Sparkle Power</t>
  </si>
  <si>
    <t>Sparkle Power S.A.</t>
  </si>
  <si>
    <t>S/E Cemento Panama</t>
  </si>
  <si>
    <t xml:space="preserve">C.T. Gatún </t>
  </si>
  <si>
    <t>CARIBE NG POWER, S.A.</t>
  </si>
  <si>
    <t>AES Changuinola, S.A.</t>
  </si>
  <si>
    <t>S/E Chan 1</t>
  </si>
  <si>
    <t>Hidroecologia del Teribe S.A.</t>
  </si>
  <si>
    <t>S/E Bonyic</t>
  </si>
  <si>
    <t>Capacidades amparadas bajo la ley 45 pero consideradas en los Cargos CUSPT</t>
  </si>
  <si>
    <t>Capacidades consideraras en el cargo CUSPT</t>
  </si>
  <si>
    <t>Total de Capacidades Instaladas para los Cargos CUSPT</t>
  </si>
  <si>
    <t>Capacidades totalmente exoneradas del Cargos CUSPT (Según reglamento de Transmisión)</t>
  </si>
  <si>
    <t>Total de Capacidades Instaladas</t>
  </si>
  <si>
    <t xml:space="preserve"> (*) corresponden a Generación Fotovoltaica (Solar) </t>
  </si>
  <si>
    <t xml:space="preserve">(**) corresponde a la Generación Eólica </t>
  </si>
  <si>
    <t>(E) corresponden a las Generaciones Solares y Eolicas Exentas del Cargo de Transmisión según Reglamento de Transmisión</t>
  </si>
  <si>
    <t>Nota 2: Minera Panamá por su estado de autogenerado se utiliza sus medidas reales de inyección al sistema, pero para los cálculos de año 3 y 4 se utilizara la capacidad declarada en el contrato</t>
  </si>
  <si>
    <t>AT1</t>
  </si>
  <si>
    <t>AT2</t>
  </si>
  <si>
    <t>AT3</t>
  </si>
  <si>
    <t>AT4</t>
  </si>
  <si>
    <t>S/E San Cristobal</t>
  </si>
  <si>
    <t>Mata Nance 34-9/10/11/15</t>
  </si>
  <si>
    <t>Boqueron III 34-52</t>
  </si>
  <si>
    <t>Veladero 230/34.5</t>
  </si>
  <si>
    <t xml:space="preserve">El coco </t>
  </si>
  <si>
    <t>Sunstar</t>
  </si>
  <si>
    <t>MINERA PANAMÁ</t>
  </si>
  <si>
    <t>GRANDES CLIENTES ENSA</t>
  </si>
  <si>
    <t>GRANDES CLIENTES EDEMET</t>
  </si>
  <si>
    <t>se cito información presentada en la consulta pública para el pliego Tarifario por parte de ENSA.</t>
  </si>
  <si>
    <t>Manzanillo International Terminal</t>
  </si>
  <si>
    <t xml:space="preserve">Total de Demanda Maxima No Coincidente </t>
  </si>
  <si>
    <t>(Autogenerador)CADASA 1</t>
  </si>
  <si>
    <t>Nota 1:  Cadasa no se incorpora por su estado de auto generador en los años 2, 3, 4, solo cuando agregue al sistema en tiempo de zafra donde inyecta al sistema (pero para el año uno se presenta  su capacidad instalada durante los meses (Enero, Febrero, Marzo y abril).</t>
  </si>
  <si>
    <t>promedio del año 1 de la Potencia firme declara</t>
  </si>
  <si>
    <t>promedio del año 1 de la DMNC declarada</t>
  </si>
  <si>
    <t>promedio de los meses que participo del año 1 de la Potencia firme declara</t>
  </si>
  <si>
    <t>Total Promedio</t>
  </si>
  <si>
    <t>AÑO 1</t>
  </si>
  <si>
    <t>AÑO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</si>
</sst>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1" formatCode="_-* #,##0_-;\-* #,##0_-;_-* &quot;-&quot;_-;_-@_-"/>
    <numFmt numFmtId="43" formatCode="_-* #,##0.00_-;\-* #,##0.00_-;_-* &quot;-&quot;??_-;_-@_-"/>
    <numFmt numFmtId="164" formatCode="_(* #,##0.00_);_(* \(#,##0.00\);_(* &quot;-&quot;??_);_(@_)"/>
    <numFmt numFmtId="165" formatCode="_-* #,##0.00\ _P_t_a_-;\-* #,##0.00\ _P_t_a_-;_-* &quot;-&quot;??\ _P_t_a_-;_-@_-"/>
    <numFmt numFmtId="166" formatCode="0.0000"/>
    <numFmt numFmtId="167" formatCode="_-* #,##0\ _P_t_a_-;\-* #,##0\ _P_t_a_-;_-* &quot;-&quot;??\ _P_t_a_-;_-@_-"/>
    <numFmt numFmtId="168" formatCode="0.0%"/>
    <numFmt numFmtId="169" formatCode="_(* #,##0_);_(* \(#,##0\);_(* &quot;-&quot;??_);_(@_)"/>
    <numFmt numFmtId="170" formatCode="_-[$€-2]* #,##0.00_-;\-[$€-2]* #,##0.00_-;_-[$€-2]* &quot;-&quot;??_-"/>
    <numFmt numFmtId="171" formatCode="#.00"/>
    <numFmt numFmtId="172" formatCode="d\-mmm\-yy"/>
    <numFmt numFmtId="173" formatCode="#,##0.0"/>
    <numFmt numFmtId="174" formatCode="_-* #,##0_-;\-* #,##0_-;_-* &quot;-&quot;??_-;_-@_-"/>
    <numFmt numFmtId="175" formatCode="0.0"/>
    <numFmt numFmtId="176" formatCode="_(* #,##0.00000_);_(* \(#,##0.00000\);_(* &quot;-&quot;??_);_(@_)"/>
    <numFmt numFmtId="177" formatCode="_-* #,##0.0000_-;\-* #,##0.0000_-;_-* &quot;-&quot;??_-;_-@_-"/>
    <numFmt numFmtId="178" formatCode="#,##0.00;[Red]#,##0.00"/>
    <numFmt numFmtId="179" formatCode="#,##0.00_ ;[Red]\-#,##0.00\ "/>
    <numFmt numFmtId="180" formatCode="#,##0.0000"/>
    <numFmt numFmtId="181" formatCode="mmmm\-yy"/>
    <numFmt numFmtId="182" formatCode="_ * #,##0.000_ ;_ * \-#,##0.000_ ;_ * &quot;-&quot;??_ ;_ @_ "/>
    <numFmt numFmtId="183" formatCode="0.0_)"/>
    <numFmt numFmtId="184" formatCode="_ * #,##0.0000_ ;_ * \-#,##0.0000_ ;_ * &quot;-&quot;??_ ;_ @_ "/>
    <numFmt numFmtId="185" formatCode="_(* #,##0.0000_);_(* \(#,##0.0000\);_(* &quot;-&quot;??_);_(@_)"/>
    <numFmt numFmtId="186" formatCode="_-* #,##0.00_-;\-* #,##0.00_-;_-* &quot;-&quot;_-;_-@_-"/>
    <numFmt numFmtId="187" formatCode="_ * #,##0.00_ ;_ * \-#,##0.00_ ;_ * &quot;-&quot;??_ ;_ @_ "/>
    <numFmt numFmtId="188" formatCode="0.000"/>
    <numFmt numFmtId="189" formatCode="0.0000%"/>
    <numFmt numFmtId="190" formatCode="0.000000%"/>
    <numFmt numFmtId="191" formatCode="_-* #,##0.0_-;\-* #,##0.0_-;_-* &quot;-&quot;??_-;_-@_-"/>
  </numFmts>
  <fonts count="1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i/>
      <sz val="1"/>
      <color indexed="8"/>
      <name val="Courier"/>
      <family val="3"/>
    </font>
    <font>
      <sz val="11"/>
      <color indexed="20"/>
      <name val="Calibri"/>
      <family val="2"/>
    </font>
    <font>
      <sz val="11"/>
      <color indexed="60"/>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sz val="8"/>
      <name val="Arial"/>
      <family val="2"/>
    </font>
    <font>
      <b/>
      <sz val="11"/>
      <name val="Arial"/>
      <family val="2"/>
    </font>
    <font>
      <sz val="11"/>
      <name val="Arial"/>
      <family val="2"/>
    </font>
    <font>
      <sz val="9"/>
      <name val="Arial"/>
      <family val="2"/>
    </font>
    <font>
      <b/>
      <sz val="10"/>
      <color indexed="10"/>
      <name val="Arial"/>
      <family val="2"/>
    </font>
    <font>
      <sz val="12"/>
      <color indexed="12"/>
      <name val="Arial"/>
      <family val="2"/>
    </font>
    <font>
      <b/>
      <i/>
      <sz val="11"/>
      <name val="Arial"/>
      <family val="2"/>
    </font>
    <font>
      <i/>
      <sz val="11"/>
      <name val="Arial"/>
      <family val="2"/>
    </font>
    <font>
      <b/>
      <sz val="11"/>
      <name val="Times New Roman"/>
      <family val="1"/>
    </font>
    <font>
      <b/>
      <sz val="10"/>
      <name val="Times New Roman"/>
      <family val="1"/>
    </font>
    <font>
      <sz val="10"/>
      <name val="Times New Roman"/>
      <family val="1"/>
    </font>
    <font>
      <sz val="10"/>
      <color rgb="FFFF0000"/>
      <name val="Arial"/>
      <family val="2"/>
    </font>
    <font>
      <sz val="10"/>
      <color theme="1"/>
      <name val="Times New Roman"/>
      <family val="1"/>
    </font>
    <font>
      <sz val="10"/>
      <color theme="3"/>
      <name val="Times New Roman"/>
      <family val="1"/>
    </font>
    <font>
      <i/>
      <sz val="10"/>
      <color theme="1" tint="0.499984740745262"/>
      <name val="Times New Roman"/>
      <family val="1"/>
    </font>
    <font>
      <b/>
      <i/>
      <sz val="10"/>
      <color theme="4"/>
      <name val="Times New Roman"/>
      <family val="1"/>
    </font>
    <font>
      <sz val="10"/>
      <color theme="4"/>
      <name val="Times New Roman"/>
      <family val="1"/>
    </font>
    <font>
      <i/>
      <sz val="10"/>
      <color theme="4"/>
      <name val="Times New Roman"/>
      <family val="1"/>
    </font>
    <font>
      <b/>
      <sz val="10"/>
      <color theme="3"/>
      <name val="Times New Roman"/>
      <family val="1"/>
    </font>
    <font>
      <sz val="10"/>
      <color theme="0"/>
      <name val="Times New Roman"/>
      <family val="1"/>
    </font>
    <font>
      <i/>
      <sz val="10"/>
      <color theme="0"/>
      <name val="Times New Roman"/>
      <family val="1"/>
    </font>
    <font>
      <b/>
      <sz val="10"/>
      <color theme="1"/>
      <name val="Times New Roman"/>
      <family val="1"/>
    </font>
    <font>
      <b/>
      <i/>
      <sz val="10"/>
      <color theme="1"/>
      <name val="Times New Roman"/>
      <family val="1"/>
    </font>
    <font>
      <i/>
      <sz val="10"/>
      <color rgb="FF00B050"/>
      <name val="Times New Roman"/>
      <family val="1"/>
    </font>
    <font>
      <b/>
      <i/>
      <sz val="10"/>
      <color theme="1" tint="0.499984740745262"/>
      <name val="Times New Roman"/>
      <family val="1"/>
    </font>
    <font>
      <i/>
      <sz val="9"/>
      <color theme="4"/>
      <name val="Times New Roman"/>
      <family val="1"/>
    </font>
    <font>
      <b/>
      <sz val="10"/>
      <color indexed="8"/>
      <name val="Times New Roman"/>
      <family val="1"/>
    </font>
    <font>
      <sz val="10"/>
      <color indexed="8"/>
      <name val="Times New Roman"/>
      <family val="1"/>
    </font>
    <font>
      <b/>
      <sz val="9"/>
      <color indexed="81"/>
      <name val="Tahoma"/>
      <family val="2"/>
    </font>
    <font>
      <sz val="9"/>
      <color indexed="81"/>
      <name val="Tahoma"/>
      <family val="2"/>
    </font>
    <font>
      <b/>
      <sz val="16"/>
      <name val="Arial"/>
      <family val="2"/>
    </font>
    <font>
      <b/>
      <sz val="12"/>
      <name val="Calibri"/>
      <family val="2"/>
      <scheme val="minor"/>
    </font>
    <font>
      <i/>
      <sz val="12"/>
      <name val="Calibri"/>
      <family val="2"/>
      <scheme val="minor"/>
    </font>
    <font>
      <b/>
      <i/>
      <sz val="12"/>
      <name val="Calibri"/>
      <family val="2"/>
      <scheme val="minor"/>
    </font>
    <font>
      <b/>
      <sz val="20"/>
      <name val="ITC Bookman Demi"/>
      <family val="1"/>
    </font>
    <font>
      <b/>
      <sz val="16"/>
      <name val="Calibri"/>
      <family val="2"/>
      <scheme val="minor"/>
    </font>
    <font>
      <b/>
      <sz val="14"/>
      <name val="Calibri"/>
      <family val="2"/>
      <scheme val="minor"/>
    </font>
    <font>
      <b/>
      <i/>
      <sz val="14"/>
      <name val="Calibri"/>
      <family val="2"/>
      <scheme val="minor"/>
    </font>
    <font>
      <sz val="12"/>
      <name val="Calibri"/>
      <family val="2"/>
      <scheme val="minor"/>
    </font>
    <font>
      <sz val="10"/>
      <name val="Calibri"/>
      <family val="2"/>
      <scheme val="minor"/>
    </font>
    <font>
      <sz val="10"/>
      <color indexed="56"/>
      <name val="Times New Roman"/>
      <family val="1"/>
    </font>
    <font>
      <b/>
      <sz val="10"/>
      <color indexed="56"/>
      <name val="Times New Roman"/>
      <family val="1"/>
    </font>
    <font>
      <b/>
      <sz val="14"/>
      <name val="Arial"/>
      <family val="2"/>
    </font>
    <font>
      <sz val="14"/>
      <name val="Arial"/>
      <family val="2"/>
    </font>
    <font>
      <sz val="16"/>
      <name val="Arial"/>
      <family val="2"/>
    </font>
    <font>
      <u val="singleAccounting"/>
      <sz val="14"/>
      <name val="Arial"/>
      <family val="2"/>
    </font>
    <font>
      <sz val="14"/>
      <color rgb="FFFF0000"/>
      <name val="Arial"/>
      <family val="2"/>
    </font>
    <font>
      <b/>
      <i/>
      <u/>
      <sz val="12"/>
      <color rgb="FF0070C0"/>
      <name val="Arial"/>
      <family val="2"/>
    </font>
    <font>
      <u val="singleAccounting"/>
      <sz val="10"/>
      <name val="Arial"/>
      <family val="2"/>
    </font>
    <font>
      <sz val="18"/>
      <name val="Arial"/>
      <family val="2"/>
    </font>
    <font>
      <b/>
      <sz val="22"/>
      <name val="Arial"/>
      <family val="2"/>
    </font>
    <font>
      <sz val="22"/>
      <color rgb="FFFF0000"/>
      <name val="Arial"/>
      <family val="2"/>
    </font>
    <font>
      <sz val="12"/>
      <color rgb="FFFF0000"/>
      <name val="Arial"/>
      <family val="2"/>
    </font>
    <font>
      <b/>
      <vertAlign val="subscript"/>
      <sz val="10"/>
      <name val="Arial"/>
      <family val="2"/>
    </font>
    <font>
      <vertAlign val="subscript"/>
      <sz val="10"/>
      <name val="Arial"/>
      <family val="2"/>
    </font>
    <font>
      <b/>
      <sz val="14"/>
      <color theme="0"/>
      <name val="Arial"/>
      <family val="2"/>
    </font>
    <font>
      <sz val="18"/>
      <color rgb="FFFF0000"/>
      <name val="Times New Roman"/>
      <family val="1"/>
    </font>
    <font>
      <sz val="10"/>
      <name val="Arial"/>
      <family val="2"/>
    </font>
    <font>
      <b/>
      <sz val="11"/>
      <color theme="1"/>
      <name val="Calibri"/>
      <family val="2"/>
      <scheme val="minor"/>
    </font>
    <font>
      <sz val="10"/>
      <color rgb="FF0070C0"/>
      <name val="Calibri"/>
      <family val="2"/>
      <scheme val="minor"/>
    </font>
    <font>
      <b/>
      <sz val="10"/>
      <color theme="0"/>
      <name val="Arial"/>
      <family val="2"/>
    </font>
    <font>
      <b/>
      <sz val="11"/>
      <color theme="0"/>
      <name val="Arial"/>
      <family val="2"/>
    </font>
    <font>
      <b/>
      <sz val="10"/>
      <name val="Calibri"/>
      <family val="2"/>
      <scheme val="minor"/>
    </font>
    <font>
      <sz val="10"/>
      <color rgb="FFFF0000"/>
      <name val="Calibri"/>
      <family val="2"/>
      <scheme val="minor"/>
    </font>
    <font>
      <i/>
      <sz val="10"/>
      <name val="Calibri"/>
      <family val="2"/>
      <scheme val="minor"/>
    </font>
    <font>
      <b/>
      <i/>
      <sz val="10"/>
      <name val="Calibri"/>
      <family val="2"/>
      <scheme val="minor"/>
    </font>
    <font>
      <b/>
      <sz val="10"/>
      <color theme="0"/>
      <name val="Calibri"/>
      <family val="2"/>
      <scheme val="minor"/>
    </font>
    <font>
      <b/>
      <sz val="10"/>
      <color theme="1"/>
      <name val="Calibri"/>
      <family val="2"/>
      <scheme val="minor"/>
    </font>
    <font>
      <b/>
      <sz val="9"/>
      <color theme="0"/>
      <name val="Calibri"/>
      <family val="2"/>
      <scheme val="minor"/>
    </font>
    <font>
      <sz val="10"/>
      <color theme="1"/>
      <name val="Calibri"/>
      <family val="2"/>
      <scheme val="minor"/>
    </font>
    <font>
      <sz val="10"/>
      <color rgb="FF00B050"/>
      <name val="Calibri"/>
      <family val="2"/>
      <scheme val="minor"/>
    </font>
    <font>
      <sz val="10"/>
      <color indexed="12"/>
      <name val="Calibri"/>
      <family val="2"/>
      <scheme val="minor"/>
    </font>
    <font>
      <b/>
      <sz val="20"/>
      <name val="Times New Roman"/>
      <family val="1"/>
    </font>
    <font>
      <i/>
      <sz val="10"/>
      <color indexed="63"/>
      <name val="Times New Roman"/>
      <family val="1"/>
    </font>
    <font>
      <b/>
      <i/>
      <sz val="10"/>
      <color indexed="63"/>
      <name val="Times New Roman"/>
      <family val="1"/>
    </font>
    <font>
      <b/>
      <sz val="10"/>
      <color theme="0"/>
      <name val="Times New Roman"/>
      <family val="1"/>
    </font>
    <font>
      <b/>
      <i/>
      <sz val="10"/>
      <color theme="0"/>
      <name val="Times New Roman"/>
      <family val="1"/>
    </font>
    <font>
      <sz val="9"/>
      <color theme="1" tint="0.499984740745262"/>
      <name val="Times New Roman"/>
      <family val="1"/>
    </font>
    <font>
      <b/>
      <sz val="11"/>
      <color theme="0"/>
      <name val="Arial Narrow"/>
      <family val="2"/>
    </font>
    <font>
      <b/>
      <sz val="10"/>
      <color rgb="FF1F497D"/>
      <name val="Times New Roman"/>
      <family val="1"/>
    </font>
    <font>
      <sz val="9"/>
      <color theme="3"/>
      <name val="Times New Roman"/>
      <family val="1"/>
    </font>
    <font>
      <b/>
      <sz val="10"/>
      <color rgb="FF000000"/>
      <name val="Times New Roman"/>
      <family val="1"/>
    </font>
    <font>
      <b/>
      <i/>
      <sz val="10"/>
      <color rgb="FF000000"/>
      <name val="Times New Roman"/>
      <family val="1"/>
    </font>
    <font>
      <sz val="10"/>
      <color rgb="FF000000"/>
      <name val="Times New Roman"/>
      <family val="1"/>
    </font>
    <font>
      <b/>
      <i/>
      <sz val="12"/>
      <color theme="1"/>
      <name val="Arial Narrow"/>
      <family val="2"/>
    </font>
    <font>
      <sz val="11"/>
      <color theme="1"/>
      <name val="Arial Narrow"/>
      <family val="2"/>
    </font>
    <font>
      <sz val="10"/>
      <color rgb="FFFF0000"/>
      <name val="Times New Roman"/>
      <family val="1"/>
    </font>
    <font>
      <b/>
      <sz val="10"/>
      <color rgb="FFFF0000"/>
      <name val="Times New Roman"/>
      <family val="1"/>
    </font>
    <font>
      <sz val="10"/>
      <color rgb="FF00B050"/>
      <name val="Times New Roman"/>
      <family val="1"/>
    </font>
    <font>
      <sz val="11"/>
      <color rgb="FF1F497D"/>
      <name val="Tahoma"/>
      <family val="2"/>
    </font>
    <font>
      <b/>
      <sz val="12"/>
      <color rgb="FF000000"/>
      <name val="Times New Roman"/>
      <family val="1"/>
    </font>
    <font>
      <b/>
      <sz val="26"/>
      <color rgb="FF1F497D"/>
      <name val="Cambria"/>
      <family val="1"/>
    </font>
    <font>
      <b/>
      <sz val="12"/>
      <color rgb="FF1F497D"/>
      <name val="Times New Roman"/>
      <family val="1"/>
    </font>
    <font>
      <b/>
      <sz val="12"/>
      <color rgb="FF44546A"/>
      <name val="Times New Roman"/>
      <family val="1"/>
    </font>
    <font>
      <b/>
      <sz val="11"/>
      <color rgb="FF000000"/>
      <name val="Times New Roman"/>
      <family val="1"/>
    </font>
    <font>
      <sz val="11"/>
      <color rgb="FF000000"/>
      <name val="Times New Roman"/>
      <family val="1"/>
    </font>
    <font>
      <b/>
      <u/>
      <sz val="11"/>
      <color rgb="FF000000"/>
      <name val="Times New Roman"/>
      <family val="1"/>
    </font>
    <font>
      <b/>
      <sz val="11"/>
      <color theme="4"/>
      <name val="Times New Roman"/>
      <family val="1"/>
    </font>
    <font>
      <sz val="12"/>
      <color rgb="FF000000"/>
      <name val="Times New Roman"/>
      <family val="1"/>
    </font>
    <font>
      <sz val="11"/>
      <color theme="1"/>
      <name val="Times New Roman"/>
      <family val="1"/>
    </font>
    <font>
      <sz val="11"/>
      <color theme="4"/>
      <name val="Times New Roman"/>
      <family val="1"/>
    </font>
    <font>
      <b/>
      <sz val="11"/>
      <color rgb="FFFF0000"/>
      <name val="Times New Roman"/>
      <family val="1"/>
    </font>
    <font>
      <sz val="11"/>
      <name val="Times New Roman"/>
      <family val="1"/>
    </font>
    <font>
      <u/>
      <sz val="11"/>
      <color rgb="FF000000"/>
      <name val="Times New Roman"/>
      <family val="1"/>
    </font>
    <font>
      <b/>
      <u/>
      <sz val="11"/>
      <color theme="4"/>
      <name val="Times New Roman"/>
      <family val="1"/>
    </font>
    <font>
      <u/>
      <sz val="10"/>
      <color rgb="FF000000"/>
      <name val="Times New Roman"/>
      <family val="1"/>
    </font>
    <font>
      <b/>
      <u/>
      <sz val="10"/>
      <color rgb="FF000000"/>
      <name val="Times New Roman"/>
      <family val="1"/>
    </font>
    <font>
      <strike/>
      <sz val="11"/>
      <color rgb="FF000000"/>
      <name val="Times New Roman"/>
      <family val="1"/>
    </font>
    <font>
      <b/>
      <sz val="12"/>
      <color theme="1"/>
      <name val="Calibri"/>
      <family val="2"/>
      <scheme val="minor"/>
    </font>
    <font>
      <b/>
      <sz val="14"/>
      <color rgb="FF000000"/>
      <name val="Times New Roman"/>
      <family val="1"/>
    </font>
    <font>
      <b/>
      <sz val="16"/>
      <color rgb="FF000000"/>
      <name val="Times New Roman"/>
      <family val="1"/>
    </font>
    <font>
      <sz val="8"/>
      <color theme="1"/>
      <name val="Arial"/>
      <family val="2"/>
    </font>
    <font>
      <sz val="16"/>
      <color theme="1"/>
      <name val="Calibri"/>
      <family val="2"/>
      <scheme val="minor"/>
    </font>
    <font>
      <b/>
      <sz val="14"/>
      <color theme="3"/>
      <name val="Times New Roman"/>
      <family val="1"/>
    </font>
    <font>
      <sz val="9"/>
      <color theme="1"/>
      <name val="Calibri"/>
      <family val="2"/>
      <scheme val="minor"/>
    </font>
    <font>
      <sz val="12"/>
      <color theme="1"/>
      <name val="Calibri"/>
      <family val="2"/>
      <scheme val="minor"/>
    </font>
    <font>
      <b/>
      <sz val="9"/>
      <color indexed="81"/>
      <name val="Tahoma"/>
      <charset val="1"/>
    </font>
    <font>
      <sz val="9"/>
      <color indexed="81"/>
      <name val="Tahoma"/>
      <charset val="1"/>
    </font>
    <font>
      <b/>
      <sz val="16"/>
      <color theme="1"/>
      <name val="Calibri"/>
      <family val="2"/>
      <scheme val="minor"/>
    </font>
    <font>
      <b/>
      <sz val="12"/>
      <color theme="1"/>
      <name val="Times New Roman"/>
      <family val="1"/>
    </font>
    <font>
      <b/>
      <i/>
      <sz val="14"/>
      <color theme="1"/>
      <name val="Calibri"/>
      <family val="2"/>
      <scheme val="minor"/>
    </font>
    <font>
      <sz val="11"/>
      <color rgb="FFFF0000"/>
      <name val="Times New Roman"/>
      <family val="1"/>
    </font>
    <font>
      <b/>
      <sz val="14"/>
      <color theme="1"/>
      <name val="Times New Roman"/>
      <family val="1"/>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FF"/>
        <bgColor rgb="FF000000"/>
      </patternFill>
    </fill>
    <fill>
      <patternFill patternType="solid">
        <fgColor rgb="FF002060"/>
        <bgColor indexed="64"/>
      </patternFill>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rgb="FFD9D9D9"/>
        <bgColor rgb="FF000000"/>
      </patternFill>
    </fill>
    <fill>
      <patternFill patternType="solid">
        <fgColor theme="0" tint="-0.49998474074526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D9D9D9"/>
        <bgColor indexed="64"/>
      </patternFill>
    </fill>
    <fill>
      <patternFill patternType="solid">
        <fgColor rgb="FFFF5050"/>
        <bgColor indexed="64"/>
      </patternFill>
    </fill>
    <fill>
      <patternFill patternType="solid">
        <fgColor theme="8" tint="0.59999389629810485"/>
        <bgColor indexed="64"/>
      </patternFill>
    </fill>
    <fill>
      <patternFill patternType="solid">
        <fgColor rgb="FF002C5F"/>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style="thin">
        <color indexed="64"/>
      </left>
      <right style="thin">
        <color indexed="64"/>
      </right>
      <top style="thin">
        <color indexed="64"/>
      </top>
      <bottom style="double">
        <color theme="0" tint="-0.499984740745262"/>
      </bottom>
      <diagonal/>
    </border>
    <border>
      <left style="thin">
        <color theme="0" tint="-0.499984740745262"/>
      </left>
      <right style="thin">
        <color theme="0" tint="-0.499984740745262"/>
      </right>
      <top style="double">
        <color theme="0" tint="-0.499984740745262"/>
      </top>
      <bottom style="hair">
        <color theme="0" tint="-0.499984740745262"/>
      </bottom>
      <diagonal/>
    </border>
    <border>
      <left style="thin">
        <color theme="0" tint="-0.499984740745262"/>
      </left>
      <right/>
      <top style="double">
        <color theme="0" tint="-0.499984740745262"/>
      </top>
      <bottom style="hair">
        <color theme="0" tint="-0.499984740745262"/>
      </bottom>
      <diagonal/>
    </border>
    <border>
      <left style="thin">
        <color indexed="64"/>
      </left>
      <right style="thin">
        <color indexed="64"/>
      </right>
      <top style="double">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double">
        <color theme="0" tint="-0.499984740745262"/>
      </bottom>
      <diagonal/>
    </border>
    <border>
      <left/>
      <right/>
      <top style="double">
        <color theme="0" tint="-0.499984740745262"/>
      </top>
      <bottom/>
      <diagonal/>
    </border>
    <border>
      <left/>
      <right style="thin">
        <color theme="0" tint="-0.499984740745262"/>
      </right>
      <top/>
      <bottom style="double">
        <color theme="0" tint="-0.499984740745262"/>
      </bottom>
      <diagonal/>
    </border>
    <border>
      <left style="thin">
        <color indexed="64"/>
      </left>
      <right style="thin">
        <color indexed="64"/>
      </right>
      <top/>
      <bottom style="double">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style="thin">
        <color indexed="64"/>
      </left>
      <right style="thin">
        <color indexed="64"/>
      </right>
      <top style="double">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double">
        <color theme="0" tint="-0.499984740745262"/>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top style="hair">
        <color theme="0" tint="-0.499984740745262"/>
      </top>
      <bottom/>
      <diagonal/>
    </border>
    <border>
      <left style="thin">
        <color indexed="64"/>
      </left>
      <right style="thin">
        <color indexed="64"/>
      </right>
      <top style="hair">
        <color theme="0" tint="-0.499984740745262"/>
      </top>
      <bottom/>
      <diagonal/>
    </border>
    <border>
      <left style="thin">
        <color theme="0" tint="-0.499984740745262"/>
      </left>
      <right style="thin">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style="thin">
        <color indexed="64"/>
      </left>
      <right style="thin">
        <color indexed="64"/>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3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9" fillId="16" borderId="1" applyNumberFormat="0" applyAlignment="0" applyProtection="0"/>
    <xf numFmtId="0" fontId="20" fillId="1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170" fontId="11" fillId="0" borderId="0" applyFont="0" applyFill="0" applyBorder="0" applyAlignment="0" applyProtection="0"/>
    <xf numFmtId="171" fontId="24" fillId="0" borderId="0">
      <protection locked="0"/>
    </xf>
    <xf numFmtId="171" fontId="24" fillId="0" borderId="0">
      <protection locked="0"/>
    </xf>
    <xf numFmtId="171" fontId="25" fillId="0" borderId="0">
      <protection locked="0"/>
    </xf>
    <xf numFmtId="171" fontId="24" fillId="0" borderId="0">
      <protection locked="0"/>
    </xf>
    <xf numFmtId="171" fontId="24" fillId="0" borderId="0">
      <protection locked="0"/>
    </xf>
    <xf numFmtId="171" fontId="24" fillId="0" borderId="0">
      <protection locked="0"/>
    </xf>
    <xf numFmtId="171" fontId="25" fillId="0" borderId="0">
      <protection locked="0"/>
    </xf>
    <xf numFmtId="0" fontId="26" fillId="3" borderId="0" applyNumberFormat="0" applyBorder="0" applyAlignment="0" applyProtection="0"/>
    <xf numFmtId="165" fontId="11"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3" fillId="0" borderId="0" applyFont="0" applyFill="0" applyBorder="0" applyAlignment="0" applyProtection="0"/>
    <xf numFmtId="0" fontId="27" fillId="22" borderId="0" applyNumberFormat="0" applyBorder="0" applyAlignment="0" applyProtection="0"/>
    <xf numFmtId="0" fontId="13" fillId="0" borderId="0"/>
    <xf numFmtId="0" fontId="13" fillId="0" borderId="0"/>
    <xf numFmtId="0" fontId="16" fillId="0" borderId="0"/>
    <xf numFmtId="0" fontId="13" fillId="0" borderId="0"/>
    <xf numFmtId="0" fontId="13" fillId="0" borderId="0"/>
    <xf numFmtId="0" fontId="11" fillId="23" borderId="4" applyNumberFormat="0" applyFont="0" applyAlignment="0" applyProtection="0"/>
    <xf numFmtId="40" fontId="28" fillId="24" borderId="0">
      <alignment horizontal="right"/>
    </xf>
    <xf numFmtId="0" fontId="29" fillId="24" borderId="0">
      <alignment horizontal="right"/>
    </xf>
    <xf numFmtId="0" fontId="30" fillId="24" borderId="5"/>
    <xf numFmtId="0" fontId="30" fillId="0" borderId="0" applyBorder="0">
      <alignment horizontal="centerContinuous"/>
    </xf>
    <xf numFmtId="0" fontId="31" fillId="0" borderId="0" applyBorder="0">
      <alignment horizontal="centerContinuous"/>
    </xf>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2" fillId="16"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22" fillId="0" borderId="9" applyNumberFormat="0" applyFill="0" applyAlignment="0" applyProtection="0"/>
    <xf numFmtId="0" fontId="38" fillId="0" borderId="10" applyNumberFormat="0" applyFill="0" applyAlignment="0" applyProtection="0"/>
    <xf numFmtId="0" fontId="10" fillId="0" borderId="0"/>
    <xf numFmtId="9" fontId="10" fillId="0" borderId="0" applyFont="0" applyFill="0" applyBorder="0" applyAlignment="0" applyProtection="0"/>
    <xf numFmtId="164" fontId="11" fillId="0" borderId="0" applyFon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7" borderId="2" applyNumberFormat="0" applyAlignment="0" applyProtection="0"/>
    <xf numFmtId="0" fontId="20" fillId="17" borderId="2" applyNumberFormat="0" applyAlignment="0" applyProtection="0"/>
    <xf numFmtId="0" fontId="20" fillId="17" borderId="2" applyNumberFormat="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32" fillId="16" borderId="6" applyNumberFormat="0" applyAlignment="0" applyProtection="0"/>
    <xf numFmtId="0" fontId="32" fillId="16" borderId="6" applyNumberFormat="0" applyAlignment="0" applyProtection="0"/>
    <xf numFmtId="0" fontId="32" fillId="16" borderId="6"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1" fillId="0" borderId="0"/>
    <xf numFmtId="0" fontId="9" fillId="0" borderId="0"/>
    <xf numFmtId="164" fontId="9" fillId="0" borderId="0" applyFont="0" applyFill="0" applyBorder="0" applyAlignment="0" applyProtection="0"/>
    <xf numFmtId="0" fontId="11" fillId="0" borderId="0"/>
    <xf numFmtId="0" fontId="11" fillId="0" borderId="0"/>
    <xf numFmtId="0" fontId="11" fillId="0" borderId="0"/>
    <xf numFmtId="0" fontId="8" fillId="0" borderId="0"/>
    <xf numFmtId="0" fontId="7" fillId="0" borderId="0"/>
    <xf numFmtId="164" fontId="7" fillId="0" borderId="0" applyFont="0" applyFill="0" applyBorder="0" applyAlignment="0" applyProtection="0"/>
    <xf numFmtId="0" fontId="6" fillId="0" borderId="0"/>
    <xf numFmtId="164" fontId="6" fillId="0" borderId="0" applyFont="0" applyFill="0" applyBorder="0" applyAlignment="0" applyProtection="0"/>
    <xf numFmtId="0" fontId="5" fillId="0" borderId="0"/>
    <xf numFmtId="0" fontId="97" fillId="0" borderId="0"/>
    <xf numFmtId="165"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11"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7" fontId="4" fillId="0" borderId="0" applyFont="0" applyFill="0" applyBorder="0" applyAlignment="0" applyProtection="0"/>
    <xf numFmtId="0" fontId="11" fillId="0" borderId="0"/>
    <xf numFmtId="0" fontId="3" fillId="0" borderId="0"/>
    <xf numFmtId="9" fontId="3" fillId="0" borderId="0" applyFont="0" applyFill="0" applyBorder="0" applyAlignment="0" applyProtection="0"/>
    <xf numFmtId="0" fontId="3" fillId="0" borderId="0"/>
    <xf numFmtId="187"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cellStyleXfs>
  <cellXfs count="1240">
    <xf numFmtId="0" fontId="0" fillId="0" borderId="0" xfId="0"/>
    <xf numFmtId="0" fontId="15" fillId="0" borderId="12" xfId="0" applyFont="1" applyBorder="1"/>
    <xf numFmtId="167" fontId="15" fillId="0" borderId="16" xfId="40" applyNumberFormat="1" applyFont="1" applyFill="1" applyBorder="1" applyAlignment="1">
      <alignment horizontal="right"/>
    </xf>
    <xf numFmtId="0" fontId="12" fillId="0" borderId="0" xfId="0" applyFont="1"/>
    <xf numFmtId="172" fontId="0" fillId="0" borderId="0" xfId="0" applyNumberFormat="1"/>
    <xf numFmtId="167" fontId="0" fillId="0" borderId="0" xfId="40" applyNumberFormat="1" applyFont="1"/>
    <xf numFmtId="0" fontId="12" fillId="0" borderId="0" xfId="0" applyFont="1" applyAlignment="1">
      <alignment horizontal="center" vertical="center"/>
    </xf>
    <xf numFmtId="0" fontId="14" fillId="0" borderId="12" xfId="0" applyFont="1" applyBorder="1"/>
    <xf numFmtId="0" fontId="14" fillId="0" borderId="16" xfId="0" applyFont="1" applyBorder="1"/>
    <xf numFmtId="0" fontId="12" fillId="24" borderId="0" xfId="0" applyFont="1" applyFill="1"/>
    <xf numFmtId="0" fontId="0" fillId="24" borderId="0" xfId="0" applyFill="1"/>
    <xf numFmtId="0" fontId="12" fillId="24" borderId="19" xfId="0" applyFont="1" applyFill="1" applyBorder="1"/>
    <xf numFmtId="0" fontId="12" fillId="24" borderId="31" xfId="0" applyFont="1" applyFill="1" applyBorder="1" applyAlignment="1">
      <alignment horizontal="center"/>
    </xf>
    <xf numFmtId="0" fontId="12" fillId="24" borderId="32" xfId="0" applyFont="1" applyFill="1" applyBorder="1" applyAlignment="1">
      <alignment horizontal="center"/>
    </xf>
    <xf numFmtId="0" fontId="45" fillId="0" borderId="0" xfId="0" applyFont="1"/>
    <xf numFmtId="0" fontId="12" fillId="24" borderId="33" xfId="0" applyFont="1" applyFill="1" applyBorder="1"/>
    <xf numFmtId="169" fontId="0" fillId="0" borderId="0" xfId="0" applyNumberFormat="1"/>
    <xf numFmtId="0" fontId="12" fillId="24" borderId="31" xfId="0" applyFont="1" applyFill="1" applyBorder="1" applyAlignment="1">
      <alignment horizontal="center" vertical="center"/>
    </xf>
    <xf numFmtId="0" fontId="12" fillId="24" borderId="32" xfId="0" applyFont="1" applyFill="1" applyBorder="1" applyAlignment="1">
      <alignment horizontal="center" vertical="center"/>
    </xf>
    <xf numFmtId="0" fontId="12" fillId="24" borderId="42" xfId="0" applyFont="1" applyFill="1" applyBorder="1"/>
    <xf numFmtId="0" fontId="12" fillId="24" borderId="37" xfId="0" applyFont="1" applyFill="1" applyBorder="1" applyAlignment="1">
      <alignment horizontal="left" vertical="justify"/>
    </xf>
    <xf numFmtId="0" fontId="12" fillId="24" borderId="45" xfId="0" applyFont="1" applyFill="1" applyBorder="1"/>
    <xf numFmtId="0" fontId="12" fillId="24" borderId="52" xfId="0" applyFont="1" applyFill="1" applyBorder="1" applyAlignment="1">
      <alignment vertical="center"/>
    </xf>
    <xf numFmtId="0" fontId="42" fillId="24" borderId="54" xfId="0" applyFont="1" applyFill="1" applyBorder="1" applyAlignment="1">
      <alignment vertical="center"/>
    </xf>
    <xf numFmtId="0" fontId="42" fillId="24" borderId="5" xfId="0" applyFont="1" applyFill="1" applyBorder="1" applyAlignment="1">
      <alignment vertical="center"/>
    </xf>
    <xf numFmtId="0" fontId="42" fillId="24" borderId="11" xfId="0" applyFont="1" applyFill="1" applyBorder="1" applyAlignment="1">
      <alignment vertical="center"/>
    </xf>
    <xf numFmtId="0" fontId="42" fillId="24" borderId="44" xfId="0" applyFont="1" applyFill="1" applyBorder="1" applyAlignment="1">
      <alignment vertical="center"/>
    </xf>
    <xf numFmtId="0" fontId="41" fillId="24" borderId="54" xfId="0" applyFont="1" applyFill="1" applyBorder="1" applyAlignment="1">
      <alignment horizontal="center" vertical="center"/>
    </xf>
    <xf numFmtId="0" fontId="41" fillId="24" borderId="55" xfId="0" applyFont="1" applyFill="1" applyBorder="1" applyAlignment="1">
      <alignment horizontal="center" vertical="center"/>
    </xf>
    <xf numFmtId="0" fontId="12" fillId="24" borderId="56" xfId="0" applyFont="1" applyFill="1" applyBorder="1" applyAlignment="1">
      <alignment vertical="center"/>
    </xf>
    <xf numFmtId="0" fontId="12" fillId="24" borderId="56" xfId="0" applyFont="1" applyFill="1" applyBorder="1" applyAlignment="1">
      <alignment horizontal="left" vertical="center"/>
    </xf>
    <xf numFmtId="0" fontId="51" fillId="0" borderId="0" xfId="0" applyFont="1"/>
    <xf numFmtId="0" fontId="12" fillId="24" borderId="47" xfId="0" applyFont="1" applyFill="1" applyBorder="1" applyAlignment="1">
      <alignment vertical="center"/>
    </xf>
    <xf numFmtId="0" fontId="41" fillId="24" borderId="58" xfId="0" applyFont="1" applyFill="1" applyBorder="1" applyAlignment="1">
      <alignment horizontal="center" vertical="center"/>
    </xf>
    <xf numFmtId="0" fontId="42" fillId="24" borderId="31" xfId="0" applyFont="1" applyFill="1" applyBorder="1" applyAlignment="1">
      <alignment vertical="center"/>
    </xf>
    <xf numFmtId="0" fontId="42" fillId="24" borderId="58" xfId="0" applyFont="1" applyFill="1" applyBorder="1" applyAlignment="1">
      <alignment vertical="center"/>
    </xf>
    <xf numFmtId="2" fontId="42" fillId="24" borderId="31" xfId="0" applyNumberFormat="1" applyFont="1" applyFill="1" applyBorder="1" applyAlignment="1">
      <alignment vertical="center"/>
    </xf>
    <xf numFmtId="2" fontId="42" fillId="24" borderId="59" xfId="0" applyNumberFormat="1" applyFont="1" applyFill="1" applyBorder="1" applyAlignment="1">
      <alignment vertical="center"/>
    </xf>
    <xf numFmtId="0" fontId="0" fillId="0" borderId="0" xfId="0" applyAlignment="1">
      <alignment horizontal="right"/>
    </xf>
    <xf numFmtId="174" fontId="42" fillId="24" borderId="11" xfId="0" applyNumberFormat="1" applyFont="1" applyFill="1" applyBorder="1" applyAlignment="1">
      <alignment vertical="center"/>
    </xf>
    <xf numFmtId="169" fontId="42" fillId="24" borderId="36" xfId="0" applyNumberFormat="1" applyFont="1" applyFill="1" applyBorder="1" applyAlignment="1">
      <alignment vertical="center"/>
    </xf>
    <xf numFmtId="175" fontId="0" fillId="0" borderId="0" xfId="0" applyNumberFormat="1" applyAlignment="1">
      <alignment horizontal="right"/>
    </xf>
    <xf numFmtId="174" fontId="47" fillId="24" borderId="11" xfId="0" applyNumberFormat="1" applyFont="1" applyFill="1" applyBorder="1" applyAlignment="1">
      <alignment vertical="center"/>
    </xf>
    <xf numFmtId="169" fontId="42" fillId="24" borderId="11" xfId="0" applyNumberFormat="1" applyFont="1" applyFill="1" applyBorder="1" applyAlignment="1">
      <alignment vertical="center"/>
    </xf>
    <xf numFmtId="0" fontId="12" fillId="0" borderId="0" xfId="0" applyFont="1" applyAlignment="1">
      <alignment horizontal="right"/>
    </xf>
    <xf numFmtId="0" fontId="12" fillId="24" borderId="17" xfId="0" applyFont="1" applyFill="1" applyBorder="1" applyAlignment="1">
      <alignment vertical="center"/>
    </xf>
    <xf numFmtId="169" fontId="41" fillId="24" borderId="40" xfId="0" applyNumberFormat="1" applyFont="1" applyFill="1" applyBorder="1" applyAlignment="1">
      <alignment vertical="center"/>
    </xf>
    <xf numFmtId="169" fontId="41" fillId="24" borderId="18" xfId="0" applyNumberFormat="1" applyFont="1" applyFill="1" applyBorder="1" applyAlignment="1">
      <alignment vertical="center"/>
    </xf>
    <xf numFmtId="175" fontId="0" fillId="0" borderId="0" xfId="0" applyNumberFormat="1"/>
    <xf numFmtId="169" fontId="0" fillId="24" borderId="0" xfId="0" applyNumberFormat="1" applyFill="1"/>
    <xf numFmtId="2" fontId="12" fillId="24" borderId="0" xfId="0" applyNumberFormat="1" applyFont="1" applyFill="1"/>
    <xf numFmtId="169" fontId="12" fillId="0" borderId="19" xfId="0" applyNumberFormat="1" applyFont="1" applyBorder="1"/>
    <xf numFmtId="169" fontId="12" fillId="0" borderId="50" xfId="0" applyNumberFormat="1" applyFont="1" applyBorder="1"/>
    <xf numFmtId="169" fontId="12" fillId="0" borderId="61" xfId="0" applyNumberFormat="1" applyFont="1" applyBorder="1"/>
    <xf numFmtId="0" fontId="42" fillId="0" borderId="13" xfId="0" applyFont="1" applyBorder="1" applyAlignment="1">
      <alignment horizontal="center" vertical="center"/>
    </xf>
    <xf numFmtId="169" fontId="42" fillId="0" borderId="13" xfId="0" applyNumberFormat="1" applyFont="1" applyBorder="1" applyAlignment="1">
      <alignment horizontal="center" vertical="center"/>
    </xf>
    <xf numFmtId="0" fontId="12" fillId="0" borderId="13" xfId="0" applyFont="1" applyBorder="1"/>
    <xf numFmtId="0" fontId="41" fillId="0" borderId="13" xfId="0" applyFont="1" applyBorder="1" applyAlignment="1">
      <alignment horizontal="center" vertical="center"/>
    </xf>
    <xf numFmtId="177" fontId="41" fillId="0" borderId="13" xfId="0" applyNumberFormat="1" applyFont="1" applyBorder="1" applyAlignment="1">
      <alignment horizontal="center" vertical="center"/>
    </xf>
    <xf numFmtId="169" fontId="0" fillId="0" borderId="13" xfId="0" applyNumberFormat="1" applyBorder="1"/>
    <xf numFmtId="0" fontId="39" fillId="24" borderId="31" xfId="0" applyFont="1" applyFill="1" applyBorder="1" applyAlignment="1">
      <alignment horizontal="center"/>
    </xf>
    <xf numFmtId="0" fontId="39" fillId="24" borderId="32" xfId="0" applyFont="1" applyFill="1" applyBorder="1" applyAlignment="1">
      <alignment horizontal="center"/>
    </xf>
    <xf numFmtId="0" fontId="0" fillId="24" borderId="33" xfId="0" applyFill="1" applyBorder="1"/>
    <xf numFmtId="0" fontId="40" fillId="24" borderId="25" xfId="0" applyFont="1" applyFill="1" applyBorder="1" applyAlignment="1">
      <alignment horizontal="center"/>
    </xf>
    <xf numFmtId="0" fontId="40" fillId="24" borderId="11" xfId="0" applyFont="1" applyFill="1" applyBorder="1" applyAlignment="1">
      <alignment horizontal="center"/>
    </xf>
    <xf numFmtId="0" fontId="0" fillId="24" borderId="37" xfId="0" applyFill="1" applyBorder="1"/>
    <xf numFmtId="0" fontId="40" fillId="24" borderId="26" xfId="0" applyFont="1" applyFill="1" applyBorder="1" applyAlignment="1">
      <alignment horizontal="center"/>
    </xf>
    <xf numFmtId="0" fontId="12" fillId="24" borderId="52" xfId="0" applyFont="1" applyFill="1" applyBorder="1"/>
    <xf numFmtId="0" fontId="0" fillId="24" borderId="11" xfId="0" applyFill="1" applyBorder="1"/>
    <xf numFmtId="10" fontId="0" fillId="24" borderId="11" xfId="0" applyNumberFormat="1" applyFill="1" applyBorder="1"/>
    <xf numFmtId="0" fontId="0" fillId="24" borderId="56" xfId="0" applyFill="1" applyBorder="1"/>
    <xf numFmtId="0" fontId="12" fillId="24" borderId="56" xfId="0" applyFont="1" applyFill="1" applyBorder="1"/>
    <xf numFmtId="0" fontId="0" fillId="24" borderId="17" xfId="0" applyFill="1" applyBorder="1"/>
    <xf numFmtId="0" fontId="40" fillId="24" borderId="40" xfId="0" applyFont="1" applyFill="1" applyBorder="1" applyAlignment="1">
      <alignment horizontal="center"/>
    </xf>
    <xf numFmtId="0" fontId="12" fillId="24" borderId="62" xfId="0" applyFont="1" applyFill="1" applyBorder="1"/>
    <xf numFmtId="0" fontId="0" fillId="24" borderId="49" xfId="0" applyFill="1" applyBorder="1" applyAlignment="1">
      <alignment horizontal="center"/>
    </xf>
    <xf numFmtId="0" fontId="39" fillId="24" borderId="50" xfId="0" applyFont="1" applyFill="1" applyBorder="1" applyAlignment="1">
      <alignment horizontal="center"/>
    </xf>
    <xf numFmtId="0" fontId="12" fillId="24" borderId="50" xfId="0" applyFont="1" applyFill="1" applyBorder="1" applyAlignment="1">
      <alignment horizontal="center"/>
    </xf>
    <xf numFmtId="0" fontId="39" fillId="24" borderId="61" xfId="0" applyFont="1" applyFill="1" applyBorder="1" applyAlignment="1">
      <alignment horizontal="center"/>
    </xf>
    <xf numFmtId="0" fontId="12" fillId="24" borderId="37" xfId="0" applyFont="1" applyFill="1" applyBorder="1"/>
    <xf numFmtId="0" fontId="0" fillId="24" borderId="24" xfId="0" applyFill="1" applyBorder="1" applyAlignment="1">
      <alignment horizontal="center"/>
    </xf>
    <xf numFmtId="0" fontId="12" fillId="24" borderId="26" xfId="0" applyFont="1" applyFill="1" applyBorder="1" applyAlignment="1">
      <alignment wrapText="1"/>
    </xf>
    <xf numFmtId="0" fontId="12" fillId="24" borderId="26" xfId="0" applyFont="1" applyFill="1" applyBorder="1"/>
    <xf numFmtId="0" fontId="12" fillId="24" borderId="38" xfId="0" applyFont="1" applyFill="1" applyBorder="1"/>
    <xf numFmtId="0" fontId="0" fillId="24" borderId="43" xfId="0" applyFill="1" applyBorder="1" applyAlignment="1">
      <alignment horizontal="center"/>
    </xf>
    <xf numFmtId="0" fontId="0" fillId="24" borderId="5" xfId="0" applyFill="1" applyBorder="1" applyAlignment="1">
      <alignment horizontal="center"/>
    </xf>
    <xf numFmtId="0" fontId="39" fillId="24" borderId="42" xfId="0" applyFont="1" applyFill="1" applyBorder="1"/>
    <xf numFmtId="1" fontId="0" fillId="24" borderId="11" xfId="0" applyNumberFormat="1" applyFill="1" applyBorder="1"/>
    <xf numFmtId="1" fontId="0" fillId="24" borderId="26" xfId="0" applyNumberFormat="1" applyFill="1" applyBorder="1"/>
    <xf numFmtId="1" fontId="0" fillId="24" borderId="36" xfId="0" applyNumberFormat="1" applyFill="1" applyBorder="1"/>
    <xf numFmtId="0" fontId="0" fillId="24" borderId="46" xfId="0" applyFill="1" applyBorder="1"/>
    <xf numFmtId="9" fontId="54" fillId="0" borderId="43" xfId="56" applyFont="1" applyBorder="1" applyAlignment="1">
      <alignment horizontal="center" vertical="center"/>
    </xf>
    <xf numFmtId="9" fontId="52" fillId="0" borderId="0" xfId="56" applyFont="1" applyAlignment="1">
      <alignment horizontal="center" vertical="center"/>
    </xf>
    <xf numFmtId="168" fontId="54" fillId="0" borderId="5" xfId="56" applyNumberFormat="1" applyFont="1" applyBorder="1" applyAlignment="1">
      <alignment horizontal="center" vertical="center"/>
    </xf>
    <xf numFmtId="168" fontId="54" fillId="0" borderId="24" xfId="56" applyNumberFormat="1" applyFont="1" applyBorder="1" applyAlignment="1">
      <alignment horizontal="center" vertical="center"/>
    </xf>
    <xf numFmtId="10" fontId="54" fillId="0" borderId="43" xfId="56" applyNumberFormat="1" applyFont="1" applyBorder="1" applyAlignment="1">
      <alignment horizontal="center" vertical="center"/>
    </xf>
    <xf numFmtId="4" fontId="54" fillId="0" borderId="43" xfId="56" applyNumberFormat="1" applyFont="1" applyBorder="1" applyAlignment="1">
      <alignment horizontal="center" vertical="center"/>
    </xf>
    <xf numFmtId="4" fontId="54" fillId="0" borderId="5" xfId="56" applyNumberFormat="1" applyFont="1" applyBorder="1" applyAlignment="1">
      <alignment horizontal="center" vertical="center"/>
    </xf>
    <xf numFmtId="10" fontId="54" fillId="0" borderId="24" xfId="56" applyNumberFormat="1" applyFont="1" applyBorder="1" applyAlignment="1">
      <alignment horizontal="center" vertical="center"/>
    </xf>
    <xf numFmtId="4" fontId="54" fillId="0" borderId="24" xfId="56" applyNumberFormat="1" applyFont="1" applyBorder="1" applyAlignment="1">
      <alignment horizontal="center" vertical="center"/>
    </xf>
    <xf numFmtId="15" fontId="12" fillId="27" borderId="13" xfId="0" applyNumberFormat="1" applyFont="1" applyFill="1" applyBorder="1" applyAlignment="1">
      <alignment horizontal="center"/>
    </xf>
    <xf numFmtId="0" fontId="14" fillId="27" borderId="13" xfId="0" applyFont="1" applyFill="1" applyBorder="1" applyAlignment="1">
      <alignment horizontal="center"/>
    </xf>
    <xf numFmtId="0" fontId="14" fillId="27" borderId="13" xfId="0" applyFont="1" applyFill="1" applyBorder="1"/>
    <xf numFmtId="167" fontId="14" fillId="27" borderId="13" xfId="40" applyNumberFormat="1" applyFont="1" applyFill="1" applyBorder="1" applyAlignment="1">
      <alignment horizontal="right"/>
    </xf>
    <xf numFmtId="173" fontId="0" fillId="0" borderId="0" xfId="0" applyNumberFormat="1"/>
    <xf numFmtId="0" fontId="43" fillId="0" borderId="0" xfId="0" applyFont="1"/>
    <xf numFmtId="0" fontId="14" fillId="0" borderId="70" xfId="0" applyFont="1" applyBorder="1"/>
    <xf numFmtId="168" fontId="14" fillId="0" borderId="16" xfId="56" applyNumberFormat="1" applyFont="1" applyBorder="1"/>
    <xf numFmtId="168" fontId="14" fillId="0" borderId="70" xfId="56" applyNumberFormat="1" applyFont="1" applyBorder="1"/>
    <xf numFmtId="168" fontId="14" fillId="27" borderId="13" xfId="56" applyNumberFormat="1" applyFont="1" applyFill="1" applyBorder="1"/>
    <xf numFmtId="3" fontId="14" fillId="0" borderId="0" xfId="0" applyNumberFormat="1" applyFont="1" applyAlignment="1">
      <alignment horizontal="center"/>
    </xf>
    <xf numFmtId="3" fontId="12" fillId="0" borderId="0" xfId="0" applyNumberFormat="1" applyFont="1"/>
    <xf numFmtId="0" fontId="13" fillId="0" borderId="0" xfId="0" applyFont="1"/>
    <xf numFmtId="0" fontId="11" fillId="24" borderId="33" xfId="0" applyFont="1" applyFill="1" applyBorder="1"/>
    <xf numFmtId="0" fontId="11" fillId="24" borderId="25" xfId="0" applyFont="1" applyFill="1" applyBorder="1" applyAlignment="1">
      <alignment horizontal="center"/>
    </xf>
    <xf numFmtId="10" fontId="11" fillId="25" borderId="25" xfId="56" applyNumberFormat="1" applyFont="1" applyFill="1" applyBorder="1" applyAlignment="1">
      <alignment horizontal="center"/>
    </xf>
    <xf numFmtId="10" fontId="11" fillId="25" borderId="34" xfId="56" applyNumberFormat="1" applyFont="1" applyFill="1" applyBorder="1" applyAlignment="1">
      <alignment horizontal="center"/>
    </xf>
    <xf numFmtId="168" fontId="0" fillId="0" borderId="0" xfId="56" applyNumberFormat="1" applyFont="1"/>
    <xf numFmtId="0" fontId="11" fillId="24" borderId="35" xfId="0" applyFont="1" applyFill="1" applyBorder="1"/>
    <xf numFmtId="0" fontId="11" fillId="24" borderId="11" xfId="0" applyFont="1" applyFill="1" applyBorder="1" applyAlignment="1">
      <alignment horizontal="center"/>
    </xf>
    <xf numFmtId="10" fontId="11" fillId="25" borderId="11" xfId="56" applyNumberFormat="1" applyFont="1" applyFill="1" applyBorder="1" applyAlignment="1">
      <alignment horizontal="center"/>
    </xf>
    <xf numFmtId="10" fontId="11" fillId="25" borderId="36" xfId="56" applyNumberFormat="1" applyFont="1" applyFill="1" applyBorder="1" applyAlignment="1">
      <alignment horizontal="center"/>
    </xf>
    <xf numFmtId="0" fontId="11" fillId="24" borderId="37" xfId="0" applyFont="1" applyFill="1" applyBorder="1"/>
    <xf numFmtId="0" fontId="11" fillId="24" borderId="26" xfId="0" applyFont="1" applyFill="1" applyBorder="1" applyAlignment="1">
      <alignment horizontal="center"/>
    </xf>
    <xf numFmtId="10" fontId="11" fillId="25" borderId="26" xfId="0" applyNumberFormat="1" applyFont="1" applyFill="1" applyBorder="1" applyAlignment="1">
      <alignment horizontal="center"/>
    </xf>
    <xf numFmtId="10" fontId="11" fillId="25" borderId="26" xfId="56" applyNumberFormat="1" applyFont="1" applyFill="1" applyBorder="1" applyAlignment="1">
      <alignment horizontal="center"/>
    </xf>
    <xf numFmtId="10" fontId="11" fillId="25" borderId="38" xfId="56" applyNumberFormat="1" applyFont="1" applyFill="1" applyBorder="1" applyAlignment="1">
      <alignment horizontal="center"/>
    </xf>
    <xf numFmtId="0" fontId="11" fillId="24" borderId="0" xfId="0" applyFont="1" applyFill="1" applyAlignment="1">
      <alignment horizontal="center"/>
    </xf>
    <xf numFmtId="0" fontId="11" fillId="24" borderId="25" xfId="0" applyFont="1" applyFill="1" applyBorder="1"/>
    <xf numFmtId="0" fontId="11" fillId="24" borderId="0" xfId="0" applyFont="1" applyFill="1"/>
    <xf numFmtId="10" fontId="11" fillId="24" borderId="25" xfId="0" applyNumberFormat="1" applyFont="1" applyFill="1" applyBorder="1"/>
    <xf numFmtId="0" fontId="11" fillId="24" borderId="55" xfId="0" applyFont="1" applyFill="1" applyBorder="1"/>
    <xf numFmtId="0" fontId="12" fillId="24" borderId="35" xfId="0" applyFont="1" applyFill="1" applyBorder="1"/>
    <xf numFmtId="0" fontId="11" fillId="24" borderId="11" xfId="0" applyFont="1" applyFill="1" applyBorder="1"/>
    <xf numFmtId="0" fontId="11" fillId="24" borderId="44" xfId="0" applyFont="1" applyFill="1" applyBorder="1"/>
    <xf numFmtId="0" fontId="11" fillId="24" borderId="39" xfId="0" applyFont="1" applyFill="1" applyBorder="1"/>
    <xf numFmtId="0" fontId="11" fillId="24" borderId="40" xfId="0" applyFont="1" applyFill="1" applyBorder="1" applyAlignment="1">
      <alignment horizontal="center"/>
    </xf>
    <xf numFmtId="0" fontId="11" fillId="24" borderId="24" xfId="0" applyFont="1" applyFill="1" applyBorder="1" applyAlignment="1">
      <alignment horizontal="center" vertical="center"/>
    </xf>
    <xf numFmtId="0" fontId="12" fillId="24" borderId="26" xfId="0" applyFont="1" applyFill="1" applyBorder="1" applyAlignment="1">
      <alignment horizontal="center" vertical="center" wrapText="1"/>
    </xf>
    <xf numFmtId="0" fontId="12" fillId="24" borderId="26" xfId="0" applyFont="1" applyFill="1" applyBorder="1" applyAlignment="1">
      <alignment horizontal="center" vertical="center"/>
    </xf>
    <xf numFmtId="0" fontId="12" fillId="24" borderId="38" xfId="0" applyFont="1" applyFill="1" applyBorder="1" applyAlignment="1">
      <alignment horizontal="center" vertical="center"/>
    </xf>
    <xf numFmtId="0" fontId="11" fillId="24" borderId="43" xfId="0" applyFont="1" applyFill="1" applyBorder="1" applyAlignment="1">
      <alignment horizontal="center"/>
    </xf>
    <xf numFmtId="0" fontId="11" fillId="24" borderId="54" xfId="0" applyFont="1" applyFill="1" applyBorder="1" applyAlignment="1">
      <alignment horizontal="center"/>
    </xf>
    <xf numFmtId="0" fontId="11" fillId="24" borderId="5" xfId="0" applyFont="1" applyFill="1" applyBorder="1" applyAlignment="1">
      <alignment horizontal="center"/>
    </xf>
    <xf numFmtId="0" fontId="11" fillId="24" borderId="24" xfId="0" applyFont="1" applyFill="1" applyBorder="1" applyAlignment="1">
      <alignment horizontal="center"/>
    </xf>
    <xf numFmtId="0" fontId="11" fillId="24" borderId="60" xfId="0" applyFont="1" applyFill="1" applyBorder="1" applyAlignment="1">
      <alignment horizontal="center"/>
    </xf>
    <xf numFmtId="174" fontId="11" fillId="24" borderId="40" xfId="0" applyNumberFormat="1" applyFont="1" applyFill="1" applyBorder="1"/>
    <xf numFmtId="174" fontId="11" fillId="24" borderId="18" xfId="0" applyNumberFormat="1" applyFont="1" applyFill="1" applyBorder="1"/>
    <xf numFmtId="174" fontId="0" fillId="0" borderId="0" xfId="0" applyNumberFormat="1"/>
    <xf numFmtId="0" fontId="11" fillId="0" borderId="0" xfId="0" applyFont="1"/>
    <xf numFmtId="174" fontId="11" fillId="24" borderId="11" xfId="0" applyNumberFormat="1" applyFont="1" applyFill="1" applyBorder="1"/>
    <xf numFmtId="174" fontId="11" fillId="24" borderId="26" xfId="0" applyNumberFormat="1" applyFont="1" applyFill="1" applyBorder="1"/>
    <xf numFmtId="174" fontId="11" fillId="24" borderId="38" xfId="0" applyNumberFormat="1" applyFont="1" applyFill="1" applyBorder="1"/>
    <xf numFmtId="0" fontId="11" fillId="24" borderId="46" xfId="0" applyFont="1" applyFill="1" applyBorder="1"/>
    <xf numFmtId="0" fontId="11" fillId="24" borderId="56" xfId="0" applyFont="1" applyFill="1" applyBorder="1" applyAlignment="1">
      <alignment vertical="center"/>
    </xf>
    <xf numFmtId="0" fontId="11" fillId="24" borderId="0" xfId="0" applyFont="1" applyFill="1" applyAlignment="1">
      <alignment vertical="center"/>
    </xf>
    <xf numFmtId="0" fontId="11" fillId="24" borderId="20" xfId="0" applyFont="1" applyFill="1" applyBorder="1" applyAlignment="1">
      <alignment vertical="center"/>
    </xf>
    <xf numFmtId="0" fontId="11" fillId="24" borderId="22" xfId="0" applyFont="1" applyFill="1" applyBorder="1" applyAlignment="1">
      <alignment vertical="center"/>
    </xf>
    <xf numFmtId="0" fontId="11" fillId="24" borderId="17" xfId="0" applyFont="1" applyFill="1" applyBorder="1" applyAlignment="1">
      <alignment vertical="center"/>
    </xf>
    <xf numFmtId="0" fontId="11" fillId="24" borderId="41" xfId="0" applyFont="1" applyFill="1" applyBorder="1" applyAlignment="1">
      <alignment vertical="center"/>
    </xf>
    <xf numFmtId="0" fontId="42" fillId="24" borderId="60" xfId="0" applyFont="1" applyFill="1" applyBorder="1" applyAlignment="1">
      <alignment vertical="center"/>
    </xf>
    <xf numFmtId="0" fontId="42" fillId="24" borderId="40" xfId="0" applyFont="1" applyFill="1" applyBorder="1" applyAlignment="1">
      <alignment vertical="center"/>
    </xf>
    <xf numFmtId="0" fontId="42" fillId="24" borderId="71" xfId="0" applyFont="1" applyFill="1" applyBorder="1" applyAlignment="1">
      <alignment vertical="center"/>
    </xf>
    <xf numFmtId="0" fontId="11" fillId="24" borderId="57" xfId="0" applyFont="1" applyFill="1" applyBorder="1" applyAlignment="1">
      <alignment vertical="center"/>
    </xf>
    <xf numFmtId="0" fontId="11" fillId="24" borderId="56" xfId="0" applyFont="1" applyFill="1" applyBorder="1" applyAlignment="1">
      <alignment horizontal="left" vertical="center" indent="2"/>
    </xf>
    <xf numFmtId="175" fontId="11" fillId="0" borderId="0" xfId="0" applyNumberFormat="1" applyFont="1" applyAlignment="1">
      <alignment horizontal="right"/>
    </xf>
    <xf numFmtId="168" fontId="12" fillId="0" borderId="0" xfId="56" applyNumberFormat="1" applyFont="1" applyFill="1"/>
    <xf numFmtId="166" fontId="12" fillId="0" borderId="15" xfId="56" applyNumberFormat="1" applyFont="1" applyFill="1" applyBorder="1" applyAlignment="1">
      <alignment horizontal="center"/>
    </xf>
    <xf numFmtId="166" fontId="12" fillId="0" borderId="14" xfId="56" applyNumberFormat="1" applyFont="1" applyFill="1" applyBorder="1" applyAlignment="1">
      <alignment horizontal="center"/>
    </xf>
    <xf numFmtId="166" fontId="12" fillId="0" borderId="28" xfId="56" applyNumberFormat="1" applyFont="1" applyFill="1" applyBorder="1" applyAlignment="1">
      <alignment horizontal="center"/>
    </xf>
    <xf numFmtId="166" fontId="12" fillId="0" borderId="0" xfId="56" applyNumberFormat="1" applyFont="1" applyFill="1" applyBorder="1" applyAlignment="1">
      <alignment horizontal="center"/>
    </xf>
    <xf numFmtId="1" fontId="12" fillId="0" borderId="13" xfId="56" applyNumberFormat="1" applyFont="1" applyFill="1" applyBorder="1" applyAlignment="1">
      <alignment horizontal="center"/>
    </xf>
    <xf numFmtId="166" fontId="12" fillId="0" borderId="13" xfId="56" applyNumberFormat="1" applyFont="1" applyFill="1" applyBorder="1" applyAlignment="1">
      <alignment horizontal="center"/>
    </xf>
    <xf numFmtId="10" fontId="11" fillId="24" borderId="25" xfId="56" applyNumberFormat="1" applyFont="1" applyFill="1" applyBorder="1" applyAlignment="1">
      <alignment horizontal="center"/>
    </xf>
    <xf numFmtId="10" fontId="11" fillId="24" borderId="34" xfId="56" applyNumberFormat="1" applyFont="1" applyFill="1" applyBorder="1" applyAlignment="1">
      <alignment horizontal="center"/>
    </xf>
    <xf numFmtId="0" fontId="0" fillId="24" borderId="35" xfId="0" applyFill="1" applyBorder="1"/>
    <xf numFmtId="10" fontId="11" fillId="24" borderId="11" xfId="56" applyNumberFormat="1" applyFont="1" applyFill="1" applyBorder="1" applyAlignment="1">
      <alignment horizontal="center"/>
    </xf>
    <xf numFmtId="10" fontId="11" fillId="24" borderId="36" xfId="56" applyNumberFormat="1" applyFont="1" applyFill="1" applyBorder="1" applyAlignment="1">
      <alignment horizontal="center"/>
    </xf>
    <xf numFmtId="10" fontId="11" fillId="24" borderId="26" xfId="0" applyNumberFormat="1" applyFont="1" applyFill="1" applyBorder="1" applyAlignment="1">
      <alignment horizontal="center"/>
    </xf>
    <xf numFmtId="10" fontId="11" fillId="24" borderId="26" xfId="56" applyNumberFormat="1" applyFont="1" applyFill="1" applyBorder="1" applyAlignment="1">
      <alignment horizontal="center"/>
    </xf>
    <xf numFmtId="10" fontId="11" fillId="24" borderId="38" xfId="56" applyNumberFormat="1" applyFont="1" applyFill="1" applyBorder="1" applyAlignment="1">
      <alignment horizontal="center"/>
    </xf>
    <xf numFmtId="0" fontId="0" fillId="24" borderId="36" xfId="0" applyFill="1" applyBorder="1"/>
    <xf numFmtId="168" fontId="12" fillId="0" borderId="0" xfId="56" applyNumberFormat="1" applyFont="1"/>
    <xf numFmtId="1" fontId="11" fillId="24" borderId="11" xfId="0" applyNumberFormat="1" applyFont="1" applyFill="1" applyBorder="1"/>
    <xf numFmtId="1" fontId="11" fillId="24" borderId="36" xfId="0" applyNumberFormat="1" applyFont="1" applyFill="1" applyBorder="1"/>
    <xf numFmtId="0" fontId="44" fillId="0" borderId="0" xfId="0" applyFont="1" applyAlignment="1">
      <alignment horizontal="left"/>
    </xf>
    <xf numFmtId="0" fontId="71" fillId="27" borderId="13" xfId="202" applyFont="1" applyFill="1" applyBorder="1"/>
    <xf numFmtId="0" fontId="9" fillId="0" borderId="0" xfId="203"/>
    <xf numFmtId="0" fontId="74" fillId="0" borderId="0" xfId="202" applyFont="1" applyAlignment="1">
      <alignment horizontal="center" vertical="center"/>
    </xf>
    <xf numFmtId="164" fontId="74" fillId="0" borderId="0" xfId="204" applyFont="1" applyAlignment="1">
      <alignment horizontal="center" vertical="center"/>
    </xf>
    <xf numFmtId="164" fontId="0" fillId="0" borderId="0" xfId="204" applyFont="1"/>
    <xf numFmtId="0" fontId="75" fillId="0" borderId="0" xfId="202" applyFont="1" applyAlignment="1">
      <alignment horizontal="center" vertical="center"/>
    </xf>
    <xf numFmtId="164" fontId="75" fillId="0" borderId="0" xfId="204" applyFont="1" applyAlignment="1">
      <alignment horizontal="center" vertical="center"/>
    </xf>
    <xf numFmtId="0" fontId="76" fillId="0" borderId="0" xfId="202" applyFont="1" applyAlignment="1">
      <alignment horizontal="center" vertical="center"/>
    </xf>
    <xf numFmtId="164" fontId="76" fillId="0" borderId="0" xfId="204" applyFont="1" applyAlignment="1">
      <alignment horizontal="center" vertical="center"/>
    </xf>
    <xf numFmtId="0" fontId="77" fillId="0" borderId="0" xfId="202" applyFont="1" applyAlignment="1">
      <alignment horizontal="center" vertical="center"/>
    </xf>
    <xf numFmtId="164" fontId="77" fillId="0" borderId="0" xfId="204" applyFont="1" applyBorder="1" applyAlignment="1">
      <alignment horizontal="center" vertical="center"/>
    </xf>
    <xf numFmtId="0" fontId="76" fillId="0" borderId="0" xfId="202" applyFont="1" applyAlignment="1">
      <alignment horizontal="left"/>
    </xf>
    <xf numFmtId="0" fontId="71" fillId="32" borderId="74" xfId="202" applyFont="1" applyFill="1" applyBorder="1" applyAlignment="1">
      <alignment horizontal="center" vertical="center" wrapText="1"/>
    </xf>
    <xf numFmtId="4" fontId="71" fillId="32" borderId="75" xfId="202" applyNumberFormat="1" applyFont="1" applyFill="1" applyBorder="1" applyAlignment="1">
      <alignment horizontal="center" vertical="center" wrapText="1"/>
    </xf>
    <xf numFmtId="178" fontId="71" fillId="32" borderId="75" xfId="202" applyNumberFormat="1" applyFont="1" applyFill="1" applyBorder="1" applyAlignment="1">
      <alignment horizontal="center" vertical="center" wrapText="1"/>
    </xf>
    <xf numFmtId="164" fontId="71" fillId="32" borderId="76" xfId="204" applyFont="1" applyFill="1" applyBorder="1" applyAlignment="1">
      <alignment horizontal="center" vertical="center" wrapText="1"/>
    </xf>
    <xf numFmtId="164" fontId="71" fillId="32" borderId="77" xfId="204" applyFont="1" applyFill="1" applyBorder="1" applyAlignment="1">
      <alignment horizontal="center" vertical="center" wrapText="1"/>
    </xf>
    <xf numFmtId="0" fontId="71" fillId="31" borderId="78" xfId="202" applyFont="1" applyFill="1" applyBorder="1"/>
    <xf numFmtId="179" fontId="71" fillId="0" borderId="78" xfId="202" applyNumberFormat="1" applyFont="1" applyBorder="1"/>
    <xf numFmtId="164" fontId="71" fillId="0" borderId="79" xfId="204" applyFont="1" applyFill="1" applyBorder="1" applyAlignment="1"/>
    <xf numFmtId="164" fontId="71" fillId="0" borderId="80" xfId="204" applyFont="1" applyFill="1" applyBorder="1" applyAlignment="1"/>
    <xf numFmtId="0" fontId="78" fillId="0" borderId="81" xfId="202" applyFont="1" applyBorder="1"/>
    <xf numFmtId="179" fontId="78" fillId="0" borderId="81" xfId="202" applyNumberFormat="1" applyFont="1" applyBorder="1"/>
    <xf numFmtId="164" fontId="0" fillId="0" borderId="11" xfId="204" applyFont="1" applyBorder="1"/>
    <xf numFmtId="0" fontId="78" fillId="0" borderId="82" xfId="202" applyFont="1" applyBorder="1"/>
    <xf numFmtId="179" fontId="78" fillId="0" borderId="82" xfId="202" applyNumberFormat="1" applyFont="1" applyBorder="1"/>
    <xf numFmtId="0" fontId="71" fillId="31" borderId="83" xfId="202" applyFont="1" applyFill="1" applyBorder="1"/>
    <xf numFmtId="179" fontId="71" fillId="31" borderId="83" xfId="202" applyNumberFormat="1" applyFont="1" applyFill="1" applyBorder="1"/>
    <xf numFmtId="164" fontId="71" fillId="31" borderId="83" xfId="204" applyFont="1" applyFill="1" applyBorder="1" applyAlignment="1"/>
    <xf numFmtId="164" fontId="71" fillId="31" borderId="13" xfId="204" applyFont="1" applyFill="1" applyBorder="1" applyAlignment="1"/>
    <xf numFmtId="0" fontId="78" fillId="0" borderId="13" xfId="202" applyFont="1" applyBorder="1"/>
    <xf numFmtId="179" fontId="78" fillId="0" borderId="13" xfId="202" applyNumberFormat="1" applyFont="1" applyBorder="1"/>
    <xf numFmtId="164" fontId="78" fillId="0" borderId="63" xfId="204" applyFont="1" applyFill="1" applyBorder="1" applyAlignment="1"/>
    <xf numFmtId="164" fontId="71" fillId="0" borderId="13" xfId="204" applyFont="1" applyFill="1" applyBorder="1" applyAlignment="1"/>
    <xf numFmtId="0" fontId="71" fillId="32" borderId="84" xfId="202" applyFont="1" applyFill="1" applyBorder="1" applyAlignment="1">
      <alignment horizontal="center" vertical="center" wrapText="1"/>
    </xf>
    <xf numFmtId="164" fontId="71" fillId="32" borderId="85" xfId="204" applyFont="1" applyFill="1" applyBorder="1" applyAlignment="1">
      <alignment horizontal="center" vertical="center" wrapText="1"/>
    </xf>
    <xf numFmtId="0" fontId="71" fillId="31" borderId="86" xfId="202" applyFont="1" applyFill="1" applyBorder="1"/>
    <xf numFmtId="0" fontId="71" fillId="0" borderId="86" xfId="202" applyFont="1" applyBorder="1"/>
    <xf numFmtId="164" fontId="71" fillId="0" borderId="87" xfId="204" applyFont="1" applyBorder="1"/>
    <xf numFmtId="164" fontId="71" fillId="0" borderId="88" xfId="204" applyFont="1" applyBorder="1"/>
    <xf numFmtId="0" fontId="71" fillId="31" borderId="89" xfId="202" applyFont="1" applyFill="1" applyBorder="1"/>
    <xf numFmtId="0" fontId="72" fillId="0" borderId="89" xfId="202" applyFont="1" applyBorder="1"/>
    <xf numFmtId="164" fontId="72" fillId="0" borderId="90" xfId="204" applyFont="1" applyBorder="1"/>
    <xf numFmtId="164" fontId="72" fillId="0" borderId="11" xfId="204" applyFont="1" applyBorder="1"/>
    <xf numFmtId="0" fontId="72" fillId="0" borderId="75" xfId="202" applyFont="1" applyBorder="1"/>
    <xf numFmtId="164" fontId="78" fillId="0" borderId="76" xfId="204" applyFont="1" applyFill="1" applyBorder="1" applyAlignment="1"/>
    <xf numFmtId="164" fontId="71" fillId="0" borderId="85" xfId="204" applyFont="1" applyFill="1" applyBorder="1" applyAlignment="1"/>
    <xf numFmtId="0" fontId="71" fillId="32" borderId="91" xfId="202" applyFont="1" applyFill="1" applyBorder="1" applyAlignment="1">
      <alignment horizontal="center" vertical="center" wrapText="1"/>
    </xf>
    <xf numFmtId="4" fontId="71" fillId="32" borderId="86" xfId="202" applyNumberFormat="1" applyFont="1" applyFill="1" applyBorder="1" applyAlignment="1">
      <alignment horizontal="center" vertical="center" wrapText="1"/>
    </xf>
    <xf numFmtId="178" fontId="71" fillId="32" borderId="86" xfId="202" applyNumberFormat="1" applyFont="1" applyFill="1" applyBorder="1" applyAlignment="1">
      <alignment horizontal="center" vertical="center" wrapText="1"/>
    </xf>
    <xf numFmtId="164" fontId="71" fillId="32" borderId="87" xfId="204" applyFont="1" applyFill="1" applyBorder="1" applyAlignment="1">
      <alignment horizontal="center" vertical="center" wrapText="1"/>
    </xf>
    <xf numFmtId="164" fontId="71" fillId="32" borderId="88" xfId="204" applyFont="1" applyFill="1" applyBorder="1" applyAlignment="1">
      <alignment horizontal="center" vertical="center" wrapText="1"/>
    </xf>
    <xf numFmtId="0" fontId="71" fillId="31" borderId="92" xfId="202" applyFont="1" applyFill="1" applyBorder="1"/>
    <xf numFmtId="4" fontId="78" fillId="0" borderId="92" xfId="202" applyNumberFormat="1" applyFont="1" applyBorder="1" applyAlignment="1">
      <alignment horizontal="center"/>
    </xf>
    <xf numFmtId="178" fontId="78" fillId="0" borderId="92" xfId="202" applyNumberFormat="1" applyFont="1" applyBorder="1" applyAlignment="1">
      <alignment horizontal="center"/>
    </xf>
    <xf numFmtId="164" fontId="71" fillId="0" borderId="93" xfId="204" applyFont="1" applyFill="1" applyBorder="1" applyAlignment="1"/>
    <xf numFmtId="164" fontId="71" fillId="0" borderId="94" xfId="204" applyFont="1" applyFill="1" applyBorder="1" applyAlignment="1"/>
    <xf numFmtId="0" fontId="71" fillId="0" borderId="89" xfId="202" applyFont="1" applyBorder="1"/>
    <xf numFmtId="4" fontId="72" fillId="0" borderId="89" xfId="202" applyNumberFormat="1" applyFont="1" applyBorder="1" applyAlignment="1">
      <alignment horizontal="center"/>
    </xf>
    <xf numFmtId="164" fontId="0" fillId="0" borderId="26" xfId="204" applyFont="1" applyBorder="1"/>
    <xf numFmtId="0" fontId="71" fillId="31" borderId="63" xfId="202" applyFont="1" applyFill="1" applyBorder="1"/>
    <xf numFmtId="179" fontId="71" fillId="31" borderId="64" xfId="202" applyNumberFormat="1" applyFont="1" applyFill="1" applyBorder="1"/>
    <xf numFmtId="164" fontId="71" fillId="31" borderId="43" xfId="204" applyFont="1" applyFill="1" applyBorder="1" applyAlignment="1"/>
    <xf numFmtId="164" fontId="72" fillId="0" borderId="90" xfId="204" applyFont="1" applyFill="1" applyBorder="1" applyAlignment="1"/>
    <xf numFmtId="164" fontId="72" fillId="0" borderId="25" xfId="204" applyFont="1" applyFill="1" applyBorder="1" applyAlignment="1"/>
    <xf numFmtId="164" fontId="72" fillId="0" borderId="11" xfId="204" applyFont="1" applyFill="1" applyBorder="1" applyAlignment="1"/>
    <xf numFmtId="164" fontId="72" fillId="0" borderId="26" xfId="204" applyFont="1" applyFill="1" applyBorder="1" applyAlignment="1"/>
    <xf numFmtId="4" fontId="71" fillId="32" borderId="95" xfId="202" applyNumberFormat="1" applyFont="1" applyFill="1" applyBorder="1" applyAlignment="1">
      <alignment horizontal="center" vertical="center" wrapText="1"/>
    </xf>
    <xf numFmtId="178" fontId="71" fillId="32" borderId="95" xfId="202" applyNumberFormat="1" applyFont="1" applyFill="1" applyBorder="1" applyAlignment="1">
      <alignment horizontal="center" vertical="center" wrapText="1"/>
    </xf>
    <xf numFmtId="164" fontId="71" fillId="32" borderId="96" xfId="204" applyFont="1" applyFill="1" applyBorder="1" applyAlignment="1">
      <alignment horizontal="center" vertical="center" wrapText="1"/>
    </xf>
    <xf numFmtId="164" fontId="71" fillId="32" borderId="97" xfId="204" applyFont="1" applyFill="1" applyBorder="1" applyAlignment="1">
      <alignment horizontal="center" vertical="center" wrapText="1"/>
    </xf>
    <xf numFmtId="164" fontId="71" fillId="32" borderId="98" xfId="204" applyFont="1" applyFill="1" applyBorder="1" applyAlignment="1">
      <alignment horizontal="center" vertical="center" wrapText="1"/>
    </xf>
    <xf numFmtId="0" fontId="71" fillId="0" borderId="99" xfId="202" applyFont="1" applyBorder="1"/>
    <xf numFmtId="4" fontId="72" fillId="0" borderId="100" xfId="202" applyNumberFormat="1" applyFont="1" applyBorder="1" applyAlignment="1">
      <alignment horizontal="center"/>
    </xf>
    <xf numFmtId="0" fontId="71" fillId="0" borderId="101" xfId="202" applyFont="1" applyBorder="1"/>
    <xf numFmtId="0" fontId="71" fillId="0" borderId="102" xfId="202" applyFont="1" applyBorder="1"/>
    <xf numFmtId="4" fontId="72" fillId="0" borderId="103" xfId="202" applyNumberFormat="1" applyFont="1" applyBorder="1" applyAlignment="1">
      <alignment horizontal="center"/>
    </xf>
    <xf numFmtId="164" fontId="72" fillId="0" borderId="104" xfId="204" applyFont="1" applyFill="1" applyBorder="1" applyAlignment="1"/>
    <xf numFmtId="164" fontId="72" fillId="27" borderId="13" xfId="204" applyFont="1" applyFill="1" applyBorder="1" applyAlignment="1"/>
    <xf numFmtId="164" fontId="73" fillId="27" borderId="13" xfId="204" applyFont="1" applyFill="1" applyBorder="1" applyAlignment="1"/>
    <xf numFmtId="164" fontId="0" fillId="27" borderId="13" xfId="204" applyFont="1" applyFill="1" applyBorder="1"/>
    <xf numFmtId="0" fontId="11" fillId="0" borderId="0" xfId="202"/>
    <xf numFmtId="4" fontId="79" fillId="0" borderId="0" xfId="202" applyNumberFormat="1" applyFont="1"/>
    <xf numFmtId="178" fontId="79" fillId="0" borderId="0" xfId="202" applyNumberFormat="1" applyFont="1" applyAlignment="1">
      <alignment horizontal="center"/>
    </xf>
    <xf numFmtId="164" fontId="79" fillId="0" borderId="0" xfId="204" applyFont="1" applyFill="1"/>
    <xf numFmtId="10" fontId="79" fillId="0" borderId="0" xfId="202" applyNumberFormat="1" applyFont="1"/>
    <xf numFmtId="164" fontId="79" fillId="0" borderId="0" xfId="204" applyFont="1" applyFill="1" applyBorder="1"/>
    <xf numFmtId="4" fontId="79" fillId="0" borderId="0" xfId="202" applyNumberFormat="1" applyFont="1" applyAlignment="1">
      <alignment horizontal="center"/>
    </xf>
    <xf numFmtId="4" fontId="71" fillId="0" borderId="0" xfId="202" applyNumberFormat="1" applyFont="1" applyAlignment="1">
      <alignment horizontal="center"/>
    </xf>
    <xf numFmtId="0" fontId="48" fillId="0" borderId="0" xfId="169" applyFont="1" applyAlignment="1">
      <alignment horizontal="center" vertical="center"/>
    </xf>
    <xf numFmtId="0" fontId="48" fillId="0" borderId="0" xfId="169" applyFont="1" applyAlignment="1">
      <alignment horizontal="left" vertical="center"/>
    </xf>
    <xf numFmtId="0" fontId="52" fillId="0" borderId="0" xfId="169" applyFont="1" applyAlignment="1">
      <alignment horizontal="center" vertical="center"/>
    </xf>
    <xf numFmtId="0" fontId="49" fillId="0" borderId="24" xfId="169" applyFont="1" applyBorder="1" applyAlignment="1">
      <alignment horizontal="left" vertical="center"/>
    </xf>
    <xf numFmtId="0" fontId="49" fillId="27" borderId="20" xfId="169" applyFont="1" applyFill="1" applyBorder="1" applyAlignment="1">
      <alignment horizontal="centerContinuous" vertical="center"/>
    </xf>
    <xf numFmtId="0" fontId="53" fillId="27" borderId="54" xfId="169" applyFont="1" applyFill="1" applyBorder="1" applyAlignment="1">
      <alignment horizontal="centerContinuous" vertical="center"/>
    </xf>
    <xf numFmtId="0" fontId="53" fillId="28" borderId="20" xfId="169" applyFont="1" applyFill="1" applyBorder="1" applyAlignment="1">
      <alignment horizontal="centerContinuous" vertical="center"/>
    </xf>
    <xf numFmtId="0" fontId="53" fillId="28" borderId="54" xfId="169" applyFont="1" applyFill="1" applyBorder="1" applyAlignment="1">
      <alignment horizontal="centerContinuous" vertical="center"/>
    </xf>
    <xf numFmtId="0" fontId="53" fillId="28" borderId="54" xfId="169" applyFont="1" applyFill="1" applyBorder="1" applyAlignment="1">
      <alignment horizontal="center" vertical="center"/>
    </xf>
    <xf numFmtId="0" fontId="49" fillId="0" borderId="63" xfId="169" applyFont="1" applyBorder="1" applyAlignment="1">
      <alignment horizontal="center" vertical="center"/>
    </xf>
    <xf numFmtId="173" fontId="49" fillId="27" borderId="63" xfId="169" applyNumberFormat="1" applyFont="1" applyFill="1" applyBorder="1" applyAlignment="1">
      <alignment horizontal="right" vertical="center"/>
    </xf>
    <xf numFmtId="168" fontId="54" fillId="0" borderId="43" xfId="56" applyNumberFormat="1" applyFont="1" applyBorder="1" applyAlignment="1">
      <alignment horizontal="center" vertical="center"/>
    </xf>
    <xf numFmtId="173" fontId="55" fillId="28" borderId="63" xfId="169" applyNumberFormat="1" applyFont="1" applyFill="1" applyBorder="1" applyAlignment="1">
      <alignment horizontal="center" vertical="center"/>
    </xf>
    <xf numFmtId="0" fontId="53" fillId="28" borderId="43" xfId="169" applyFont="1" applyFill="1" applyBorder="1" applyAlignment="1">
      <alignment horizontal="center" vertical="center"/>
    </xf>
    <xf numFmtId="0" fontId="52" fillId="0" borderId="0" xfId="169" applyFont="1" applyAlignment="1">
      <alignment horizontal="right" vertical="center"/>
    </xf>
    <xf numFmtId="173" fontId="56" fillId="0" borderId="0" xfId="169" applyNumberFormat="1" applyFont="1" applyAlignment="1">
      <alignment horizontal="center" vertical="center"/>
    </xf>
    <xf numFmtId="0" fontId="49" fillId="0" borderId="22" xfId="169" applyFont="1" applyBorder="1" applyAlignment="1">
      <alignment horizontal="center" vertical="center"/>
    </xf>
    <xf numFmtId="173" fontId="50" fillId="27" borderId="22" xfId="169" applyNumberFormat="1" applyFont="1" applyFill="1" applyBorder="1" applyAlignment="1">
      <alignment horizontal="right" vertical="center"/>
    </xf>
    <xf numFmtId="168" fontId="54" fillId="0" borderId="54" xfId="56" applyNumberFormat="1" applyFont="1" applyBorder="1" applyAlignment="1">
      <alignment horizontal="center" vertical="center"/>
    </xf>
    <xf numFmtId="173" fontId="57" fillId="28" borderId="22" xfId="169" applyNumberFormat="1" applyFont="1" applyFill="1" applyBorder="1" applyAlignment="1">
      <alignment horizontal="center" vertical="center"/>
    </xf>
    <xf numFmtId="175" fontId="57" fillId="28" borderId="5" xfId="169" applyNumberFormat="1" applyFont="1" applyFill="1" applyBorder="1" applyAlignment="1">
      <alignment horizontal="center" vertical="center"/>
    </xf>
    <xf numFmtId="0" fontId="49" fillId="0" borderId="21" xfId="169" applyFont="1" applyBorder="1" applyAlignment="1">
      <alignment horizontal="center" vertical="center"/>
    </xf>
    <xf numFmtId="173" fontId="50" fillId="27" borderId="21" xfId="169" applyNumberFormat="1" applyFont="1" applyFill="1" applyBorder="1" applyAlignment="1">
      <alignment horizontal="right" vertical="center"/>
    </xf>
    <xf numFmtId="173" fontId="57" fillId="28" borderId="21" xfId="169" applyNumberFormat="1" applyFont="1" applyFill="1" applyBorder="1" applyAlignment="1">
      <alignment horizontal="center" vertical="center"/>
    </xf>
    <xf numFmtId="175" fontId="57" fillId="28" borderId="24" xfId="169" applyNumberFormat="1" applyFont="1" applyFill="1" applyBorder="1" applyAlignment="1">
      <alignment horizontal="center" vertical="center"/>
    </xf>
    <xf numFmtId="0" fontId="50" fillId="0" borderId="0" xfId="169" applyFont="1" applyAlignment="1">
      <alignment horizontal="center" vertical="center"/>
    </xf>
    <xf numFmtId="168" fontId="52" fillId="0" borderId="0" xfId="169" applyNumberFormat="1" applyFont="1" applyAlignment="1">
      <alignment horizontal="center" vertical="center"/>
    </xf>
    <xf numFmtId="0" fontId="52" fillId="0" borderId="0" xfId="169" applyFont="1" applyAlignment="1">
      <alignment horizontal="left" vertical="center"/>
    </xf>
    <xf numFmtId="173" fontId="50" fillId="27" borderId="0" xfId="169" applyNumberFormat="1" applyFont="1" applyFill="1" applyAlignment="1">
      <alignment horizontal="center" vertical="center"/>
    </xf>
    <xf numFmtId="0" fontId="49" fillId="0" borderId="0" xfId="169" applyFont="1" applyAlignment="1">
      <alignment horizontal="center" vertical="center"/>
    </xf>
    <xf numFmtId="175" fontId="57" fillId="28" borderId="43" xfId="169" applyNumberFormat="1" applyFont="1" applyFill="1" applyBorder="1" applyAlignment="1">
      <alignment horizontal="center" vertical="center"/>
    </xf>
    <xf numFmtId="0" fontId="58" fillId="0" borderId="0" xfId="169" applyFont="1" applyAlignment="1">
      <alignment horizontal="left" vertical="center" indent="1"/>
    </xf>
    <xf numFmtId="0" fontId="59" fillId="29" borderId="66" xfId="169" applyFont="1" applyFill="1" applyBorder="1" applyAlignment="1">
      <alignment horizontal="center" vertical="center"/>
    </xf>
    <xf numFmtId="0" fontId="59" fillId="29" borderId="67" xfId="169" applyFont="1" applyFill="1" applyBorder="1" applyAlignment="1">
      <alignment horizontal="center" vertical="center"/>
    </xf>
    <xf numFmtId="0" fontId="59" fillId="29" borderId="64" xfId="169" applyFont="1" applyFill="1" applyBorder="1" applyAlignment="1">
      <alignment horizontal="center" vertical="center"/>
    </xf>
    <xf numFmtId="0" fontId="59" fillId="29" borderId="68" xfId="169" applyFont="1" applyFill="1" applyBorder="1" applyAlignment="1">
      <alignment horizontal="center" vertical="center"/>
    </xf>
    <xf numFmtId="0" fontId="60" fillId="29" borderId="69" xfId="169" applyFont="1" applyFill="1" applyBorder="1" applyAlignment="1">
      <alignment horizontal="center" vertical="center"/>
    </xf>
    <xf numFmtId="0" fontId="53" fillId="0" borderId="25" xfId="169" applyFont="1" applyBorder="1" applyAlignment="1">
      <alignment horizontal="center" vertical="center"/>
    </xf>
    <xf numFmtId="173" fontId="57" fillId="0" borderId="53" xfId="169" applyNumberFormat="1" applyFont="1" applyBorder="1" applyAlignment="1">
      <alignment horizontal="center" vertical="center"/>
    </xf>
    <xf numFmtId="173" fontId="57" fillId="0" borderId="25" xfId="169" applyNumberFormat="1" applyFont="1" applyBorder="1" applyAlignment="1">
      <alignment horizontal="center" vertical="center"/>
    </xf>
    <xf numFmtId="175" fontId="65" fillId="0" borderId="0" xfId="169" applyNumberFormat="1" applyFont="1" applyAlignment="1">
      <alignment horizontal="right" vertical="center"/>
    </xf>
    <xf numFmtId="0" fontId="53" fillId="0" borderId="26" xfId="169" applyFont="1" applyBorder="1" applyAlignment="1">
      <alignment horizontal="center" vertical="center"/>
    </xf>
    <xf numFmtId="173" fontId="57" fillId="0" borderId="23" xfId="169" applyNumberFormat="1" applyFont="1" applyBorder="1" applyAlignment="1">
      <alignment horizontal="center" vertical="center"/>
    </xf>
    <xf numFmtId="173" fontId="57" fillId="0" borderId="26" xfId="169" applyNumberFormat="1" applyFont="1" applyBorder="1" applyAlignment="1">
      <alignment horizontal="center" vertical="center"/>
    </xf>
    <xf numFmtId="0" fontId="58" fillId="0" borderId="0" xfId="169" applyFont="1" applyAlignment="1">
      <alignment horizontal="center" vertical="center"/>
    </xf>
    <xf numFmtId="0" fontId="58" fillId="0" borderId="0" xfId="169" applyFont="1" applyAlignment="1">
      <alignment horizontal="left" vertical="center"/>
    </xf>
    <xf numFmtId="0" fontId="58" fillId="0" borderId="63" xfId="169" applyFont="1" applyBorder="1" applyAlignment="1">
      <alignment horizontal="center" vertical="center" wrapText="1"/>
    </xf>
    <xf numFmtId="0" fontId="58" fillId="0" borderId="64" xfId="169" applyFont="1" applyBorder="1" applyAlignment="1">
      <alignment horizontal="center" vertical="center" wrapText="1"/>
    </xf>
    <xf numFmtId="0" fontId="58" fillId="0" borderId="13" xfId="169" applyFont="1" applyBorder="1" applyAlignment="1">
      <alignment horizontal="center" vertical="center" wrapText="1"/>
    </xf>
    <xf numFmtId="0" fontId="58" fillId="0" borderId="43" xfId="169" applyFont="1" applyBorder="1" applyAlignment="1">
      <alignment horizontal="center" vertical="center" wrapText="1"/>
    </xf>
    <xf numFmtId="0" fontId="58" fillId="0" borderId="63" xfId="169" applyFont="1" applyBorder="1" applyAlignment="1">
      <alignment horizontal="center" vertical="center"/>
    </xf>
    <xf numFmtId="0" fontId="58" fillId="0" borderId="64" xfId="169" applyFont="1" applyBorder="1" applyAlignment="1">
      <alignment horizontal="center" vertical="center"/>
    </xf>
    <xf numFmtId="0" fontId="58" fillId="0" borderId="13" xfId="169" applyFont="1" applyBorder="1" applyAlignment="1">
      <alignment horizontal="center" vertical="center"/>
    </xf>
    <xf numFmtId="0" fontId="58" fillId="0" borderId="43" xfId="169" applyFont="1" applyBorder="1" applyAlignment="1">
      <alignment horizontal="center" vertical="center"/>
    </xf>
    <xf numFmtId="0" fontId="61" fillId="28" borderId="22" xfId="169" applyFont="1" applyFill="1" applyBorder="1" applyAlignment="1">
      <alignment horizontal="left" vertical="center"/>
    </xf>
    <xf numFmtId="0" fontId="61" fillId="28" borderId="0" xfId="169" applyFont="1" applyFill="1" applyAlignment="1">
      <alignment horizontal="center" vertical="center"/>
    </xf>
    <xf numFmtId="0" fontId="61" fillId="28" borderId="11" xfId="169" applyFont="1" applyFill="1" applyBorder="1" applyAlignment="1">
      <alignment horizontal="center" vertical="center"/>
    </xf>
    <xf numFmtId="2" fontId="62" fillId="28" borderId="5" xfId="169" applyNumberFormat="1" applyFont="1" applyFill="1" applyBorder="1" applyAlignment="1">
      <alignment horizontal="center" vertical="center"/>
    </xf>
    <xf numFmtId="1" fontId="62" fillId="28" borderId="5" xfId="169" applyNumberFormat="1" applyFont="1" applyFill="1" applyBorder="1" applyAlignment="1">
      <alignment horizontal="center" vertical="center"/>
    </xf>
    <xf numFmtId="0" fontId="52" fillId="0" borderId="22" xfId="169" applyFont="1" applyBorder="1" applyAlignment="1">
      <alignment horizontal="left" vertical="center" indent="2"/>
    </xf>
    <xf numFmtId="0" fontId="52" fillId="0" borderId="11" xfId="169" applyFont="1" applyBorder="1" applyAlignment="1">
      <alignment horizontal="center" vertical="center"/>
    </xf>
    <xf numFmtId="2" fontId="52" fillId="0" borderId="5" xfId="169" applyNumberFormat="1" applyFont="1" applyBorder="1" applyAlignment="1">
      <alignment horizontal="center" vertical="center"/>
    </xf>
    <xf numFmtId="1" fontId="52" fillId="0" borderId="5" xfId="169" applyNumberFormat="1" applyFont="1" applyBorder="1" applyAlignment="1">
      <alignment horizontal="center" vertical="center"/>
    </xf>
    <xf numFmtId="0" fontId="62" fillId="0" borderId="22" xfId="169" applyFont="1" applyBorder="1" applyAlignment="1">
      <alignment horizontal="left" vertical="center" indent="1"/>
    </xf>
    <xf numFmtId="0" fontId="52" fillId="0" borderId="5" xfId="169" applyFont="1" applyBorder="1" applyAlignment="1">
      <alignment horizontal="center" vertical="center"/>
    </xf>
    <xf numFmtId="0" fontId="52" fillId="0" borderId="22" xfId="169" applyFont="1" applyBorder="1" applyAlignment="1">
      <alignment horizontal="center" vertical="center"/>
    </xf>
    <xf numFmtId="0" fontId="52" fillId="0" borderId="21" xfId="169" applyFont="1" applyBorder="1" applyAlignment="1">
      <alignment horizontal="left" vertical="center" indent="3"/>
    </xf>
    <xf numFmtId="0" fontId="52" fillId="0" borderId="23" xfId="169" applyFont="1" applyBorder="1" applyAlignment="1">
      <alignment horizontal="center" vertical="center"/>
    </xf>
    <xf numFmtId="0" fontId="52" fillId="0" borderId="26" xfId="169" applyFont="1" applyBorder="1" applyAlignment="1">
      <alignment horizontal="center" vertical="center"/>
    </xf>
    <xf numFmtId="2" fontId="52" fillId="0" borderId="24" xfId="169" applyNumberFormat="1" applyFont="1" applyBorder="1" applyAlignment="1">
      <alignment horizontal="center" vertical="center"/>
    </xf>
    <xf numFmtId="0" fontId="61" fillId="28" borderId="20" xfId="169" applyFont="1" applyFill="1" applyBorder="1" applyAlignment="1">
      <alignment horizontal="left" vertical="center"/>
    </xf>
    <xf numFmtId="0" fontId="61" fillId="28" borderId="53" xfId="169" applyFont="1" applyFill="1" applyBorder="1" applyAlignment="1">
      <alignment horizontal="center" vertical="center"/>
    </xf>
    <xf numFmtId="0" fontId="61" fillId="28" borderId="25" xfId="169" applyFont="1" applyFill="1" applyBorder="1" applyAlignment="1">
      <alignment horizontal="center" vertical="center"/>
    </xf>
    <xf numFmtId="2" fontId="62" fillId="28" borderId="54" xfId="169" applyNumberFormat="1" applyFont="1" applyFill="1" applyBorder="1" applyAlignment="1">
      <alignment horizontal="center" vertical="center"/>
    </xf>
    <xf numFmtId="1" fontId="62" fillId="28" borderId="54" xfId="169" applyNumberFormat="1" applyFont="1" applyFill="1" applyBorder="1" applyAlignment="1">
      <alignment horizontal="center" vertical="center"/>
    </xf>
    <xf numFmtId="0" fontId="52" fillId="0" borderId="22" xfId="169" applyFont="1" applyBorder="1" applyAlignment="1">
      <alignment horizontal="left" vertical="center" indent="3"/>
    </xf>
    <xf numFmtId="0" fontId="52" fillId="0" borderId="21" xfId="169" applyFont="1" applyBorder="1" applyAlignment="1">
      <alignment horizontal="center" vertical="center"/>
    </xf>
    <xf numFmtId="0" fontId="52" fillId="0" borderId="24" xfId="169" applyFont="1" applyBorder="1" applyAlignment="1">
      <alignment horizontal="center" vertical="center"/>
    </xf>
    <xf numFmtId="1" fontId="52" fillId="0" borderId="24" xfId="169" applyNumberFormat="1" applyFont="1" applyBorder="1" applyAlignment="1">
      <alignment horizontal="center" vertical="center"/>
    </xf>
    <xf numFmtId="0" fontId="52" fillId="0" borderId="11" xfId="169" quotePrefix="1" applyFont="1" applyBorder="1" applyAlignment="1">
      <alignment horizontal="center" vertical="center"/>
    </xf>
    <xf numFmtId="0" fontId="52" fillId="0" borderId="21" xfId="169" applyFont="1" applyBorder="1" applyAlignment="1">
      <alignment horizontal="left" vertical="center" indent="2"/>
    </xf>
    <xf numFmtId="0" fontId="63" fillId="0" borderId="22" xfId="169" applyFont="1" applyBorder="1" applyAlignment="1">
      <alignment horizontal="left" vertical="center" indent="2"/>
    </xf>
    <xf numFmtId="0" fontId="63" fillId="0" borderId="0" xfId="169" applyFont="1" applyAlignment="1">
      <alignment horizontal="center" vertical="center"/>
    </xf>
    <xf numFmtId="0" fontId="63" fillId="0" borderId="11" xfId="169" applyFont="1" applyBorder="1" applyAlignment="1">
      <alignment horizontal="center" vertical="center"/>
    </xf>
    <xf numFmtId="2" fontId="63" fillId="0" borderId="5" xfId="169" applyNumberFormat="1" applyFont="1" applyBorder="1" applyAlignment="1">
      <alignment horizontal="center" vertical="center"/>
    </xf>
    <xf numFmtId="1" fontId="63" fillId="0" borderId="5" xfId="169" applyNumberFormat="1" applyFont="1" applyBorder="1" applyAlignment="1">
      <alignment horizontal="center" vertical="center"/>
    </xf>
    <xf numFmtId="0" fontId="63" fillId="0" borderId="21" xfId="169" applyFont="1" applyBorder="1" applyAlignment="1">
      <alignment horizontal="left" vertical="center" indent="2"/>
    </xf>
    <xf numFmtId="0" fontId="52" fillId="28" borderId="0" xfId="169" applyFont="1" applyFill="1" applyAlignment="1">
      <alignment horizontal="center" vertical="center"/>
    </xf>
    <xf numFmtId="0" fontId="52" fillId="28" borderId="11" xfId="169" applyFont="1" applyFill="1" applyBorder="1" applyAlignment="1">
      <alignment horizontal="center" vertical="center"/>
    </xf>
    <xf numFmtId="0" fontId="52" fillId="28" borderId="53" xfId="169" applyFont="1" applyFill="1" applyBorder="1" applyAlignment="1">
      <alignment horizontal="center" vertical="center"/>
    </xf>
    <xf numFmtId="0" fontId="52" fillId="28" borderId="25" xfId="169" applyFont="1" applyFill="1" applyBorder="1" applyAlignment="1">
      <alignment horizontal="center" vertical="center"/>
    </xf>
    <xf numFmtId="2" fontId="52" fillId="0" borderId="0" xfId="169" applyNumberFormat="1" applyFont="1" applyAlignment="1">
      <alignment horizontal="center" vertical="center"/>
    </xf>
    <xf numFmtId="0" fontId="52" fillId="0" borderId="0" xfId="169" applyFont="1" applyAlignment="1">
      <alignment horizontal="left" vertical="center" indent="2"/>
    </xf>
    <xf numFmtId="0" fontId="58" fillId="0" borderId="24" xfId="169" applyFont="1" applyBorder="1" applyAlignment="1">
      <alignment horizontal="left" vertical="center"/>
    </xf>
    <xf numFmtId="0" fontId="53" fillId="27" borderId="20" xfId="169" applyFont="1" applyFill="1" applyBorder="1" applyAlignment="1">
      <alignment horizontal="centerContinuous" vertical="center"/>
    </xf>
    <xf numFmtId="4" fontId="58" fillId="27" borderId="63" xfId="169" applyNumberFormat="1" applyFont="1" applyFill="1" applyBorder="1" applyAlignment="1">
      <alignment horizontal="right" vertical="center"/>
    </xf>
    <xf numFmtId="10" fontId="54" fillId="0" borderId="54" xfId="56" applyNumberFormat="1" applyFont="1" applyBorder="1" applyAlignment="1">
      <alignment horizontal="center" vertical="center"/>
    </xf>
    <xf numFmtId="4" fontId="64" fillId="28" borderId="63" xfId="169" applyNumberFormat="1" applyFont="1" applyFill="1" applyBorder="1" applyAlignment="1">
      <alignment horizontal="center" vertical="center"/>
    </xf>
    <xf numFmtId="4" fontId="56" fillId="0" borderId="0" xfId="169" applyNumberFormat="1" applyFont="1" applyAlignment="1">
      <alignment horizontal="center" vertical="center"/>
    </xf>
    <xf numFmtId="0" fontId="58" fillId="0" borderId="22" xfId="169" applyFont="1" applyBorder="1" applyAlignment="1">
      <alignment horizontal="center" vertical="center"/>
    </xf>
    <xf numFmtId="4" fontId="53" fillId="27" borderId="22" xfId="169" applyNumberFormat="1" applyFont="1" applyFill="1" applyBorder="1" applyAlignment="1">
      <alignment horizontal="right" vertical="center"/>
    </xf>
    <xf numFmtId="4" fontId="54" fillId="28" borderId="22" xfId="169" applyNumberFormat="1" applyFont="1" applyFill="1" applyBorder="1" applyAlignment="1">
      <alignment horizontal="center" vertical="center"/>
    </xf>
    <xf numFmtId="2" fontId="54" fillId="28" borderId="5" xfId="169" applyNumberFormat="1" applyFont="1" applyFill="1" applyBorder="1" applyAlignment="1">
      <alignment horizontal="center" vertical="center"/>
    </xf>
    <xf numFmtId="0" fontId="58" fillId="0" borderId="21" xfId="169" applyFont="1" applyBorder="1" applyAlignment="1">
      <alignment horizontal="center" vertical="center"/>
    </xf>
    <xf numFmtId="4" fontId="53" fillId="27" borderId="21" xfId="169" applyNumberFormat="1" applyFont="1" applyFill="1" applyBorder="1" applyAlignment="1">
      <alignment horizontal="right" vertical="center"/>
    </xf>
    <xf numFmtId="4" fontId="54" fillId="28" borderId="21" xfId="169" applyNumberFormat="1" applyFont="1" applyFill="1" applyBorder="1" applyAlignment="1">
      <alignment horizontal="center" vertical="center"/>
    </xf>
    <xf numFmtId="2" fontId="54" fillId="28" borderId="24" xfId="169" applyNumberFormat="1" applyFont="1" applyFill="1" applyBorder="1" applyAlignment="1">
      <alignment horizontal="center" vertical="center"/>
    </xf>
    <xf numFmtId="4" fontId="55" fillId="28" borderId="63" xfId="169" applyNumberFormat="1" applyFont="1" applyFill="1" applyBorder="1" applyAlignment="1">
      <alignment horizontal="center" vertical="center"/>
    </xf>
    <xf numFmtId="2" fontId="57" fillId="28" borderId="43" xfId="169" applyNumberFormat="1" applyFont="1" applyFill="1" applyBorder="1" applyAlignment="1">
      <alignment horizontal="center" vertical="center"/>
    </xf>
    <xf numFmtId="4" fontId="57" fillId="0" borderId="53" xfId="169" applyNumberFormat="1" applyFont="1" applyBorder="1" applyAlignment="1">
      <alignment horizontal="center" vertical="center"/>
    </xf>
    <xf numFmtId="4" fontId="57" fillId="0" borderId="25" xfId="169" applyNumberFormat="1" applyFont="1" applyBorder="1" applyAlignment="1">
      <alignment horizontal="center" vertical="center"/>
    </xf>
    <xf numFmtId="2" fontId="65" fillId="0" borderId="0" xfId="169" applyNumberFormat="1" applyFont="1" applyAlignment="1">
      <alignment horizontal="right" vertical="center"/>
    </xf>
    <xf numFmtId="4" fontId="57" fillId="0" borderId="23" xfId="169" applyNumberFormat="1" applyFont="1" applyBorder="1" applyAlignment="1">
      <alignment horizontal="center" vertical="center"/>
    </xf>
    <xf numFmtId="4" fontId="57" fillId="0" borderId="26" xfId="169" applyNumberFormat="1" applyFont="1" applyBorder="1" applyAlignment="1">
      <alignment horizontal="center" vertical="center"/>
    </xf>
    <xf numFmtId="0" fontId="52" fillId="0" borderId="0" xfId="208" applyFont="1" applyAlignment="1">
      <alignment horizontal="center" vertical="center"/>
    </xf>
    <xf numFmtId="0" fontId="67" fillId="0" borderId="0" xfId="169" applyFont="1" applyAlignment="1">
      <alignment horizontal="left" vertical="center"/>
    </xf>
    <xf numFmtId="2" fontId="52" fillId="0" borderId="0" xfId="208" applyNumberFormat="1" applyFont="1" applyAlignment="1">
      <alignment horizontal="center" vertical="center"/>
    </xf>
    <xf numFmtId="164" fontId="0" fillId="0" borderId="0" xfId="0" applyNumberFormat="1"/>
    <xf numFmtId="0" fontId="15" fillId="24" borderId="11" xfId="0" applyFont="1" applyFill="1" applyBorder="1" applyAlignment="1">
      <alignment vertical="center"/>
    </xf>
    <xf numFmtId="3" fontId="15" fillId="0" borderId="11" xfId="0" applyNumberFormat="1" applyFont="1" applyBorder="1"/>
    <xf numFmtId="0" fontId="14" fillId="24" borderId="13" xfId="0" applyFont="1" applyFill="1" applyBorder="1" applyAlignment="1">
      <alignment vertical="center"/>
    </xf>
    <xf numFmtId="3" fontId="14" fillId="0" borderId="13" xfId="0" applyNumberFormat="1" applyFont="1" applyBorder="1"/>
    <xf numFmtId="180" fontId="14" fillId="0" borderId="13" xfId="0" applyNumberFormat="1" applyFont="1" applyBorder="1"/>
    <xf numFmtId="0" fontId="15" fillId="0" borderId="11" xfId="0" applyFont="1" applyBorder="1"/>
    <xf numFmtId="3" fontId="14" fillId="0" borderId="11" xfId="0" applyNumberFormat="1" applyFont="1" applyBorder="1"/>
    <xf numFmtId="0" fontId="15" fillId="0" borderId="13" xfId="0" applyFont="1" applyBorder="1"/>
    <xf numFmtId="0" fontId="14" fillId="33" borderId="13" xfId="0" applyFont="1" applyFill="1" applyBorder="1" applyAlignment="1">
      <alignment horizontal="left" vertical="center" wrapText="1"/>
    </xf>
    <xf numFmtId="3" fontId="14" fillId="33" borderId="13" xfId="0" applyNumberFormat="1" applyFont="1" applyFill="1" applyBorder="1" applyAlignment="1">
      <alignment horizontal="right" vertical="center" wrapText="1"/>
    </xf>
    <xf numFmtId="0" fontId="14" fillId="33" borderId="13" xfId="0" applyFont="1" applyFill="1" applyBorder="1"/>
    <xf numFmtId="3" fontId="14" fillId="33" borderId="13" xfId="0" applyNumberFormat="1" applyFont="1" applyFill="1" applyBorder="1"/>
    <xf numFmtId="0" fontId="14" fillId="0" borderId="13" xfId="0" applyFont="1" applyBorder="1"/>
    <xf numFmtId="0" fontId="70" fillId="24" borderId="11" xfId="0" applyFont="1" applyFill="1" applyBorder="1" applyAlignment="1">
      <alignment vertical="center"/>
    </xf>
    <xf numFmtId="3" fontId="70" fillId="0" borderId="11" xfId="0" applyNumberFormat="1" applyFont="1" applyBorder="1"/>
    <xf numFmtId="3" fontId="70" fillId="0" borderId="5" xfId="0" applyNumberFormat="1" applyFont="1" applyBorder="1"/>
    <xf numFmtId="0" fontId="73" fillId="0" borderId="63" xfId="202" applyFont="1" applyBorder="1" applyAlignment="1">
      <alignment vertical="center"/>
    </xf>
    <xf numFmtId="0" fontId="73" fillId="0" borderId="64" xfId="202" applyFont="1" applyBorder="1" applyAlignment="1">
      <alignment vertical="center"/>
    </xf>
    <xf numFmtId="0" fontId="73" fillId="0" borderId="43" xfId="202" applyFont="1" applyBorder="1" applyAlignment="1">
      <alignment vertical="center"/>
    </xf>
    <xf numFmtId="167" fontId="0" fillId="0" borderId="0" xfId="0" applyNumberFormat="1"/>
    <xf numFmtId="176" fontId="0" fillId="0" borderId="0" xfId="0" applyNumberFormat="1"/>
    <xf numFmtId="0" fontId="15" fillId="0" borderId="25" xfId="0" applyFont="1" applyBorder="1"/>
    <xf numFmtId="167" fontId="0" fillId="0" borderId="25" xfId="0" applyNumberFormat="1" applyBorder="1"/>
    <xf numFmtId="167" fontId="0" fillId="0" borderId="11" xfId="0" applyNumberFormat="1" applyBorder="1"/>
    <xf numFmtId="0" fontId="12" fillId="0" borderId="0" xfId="0" applyFont="1" applyAlignment="1">
      <alignment horizontal="center"/>
    </xf>
    <xf numFmtId="3" fontId="82" fillId="0" borderId="0" xfId="0" applyNumberFormat="1" applyFont="1"/>
    <xf numFmtId="0" fontId="82" fillId="0" borderId="0" xfId="0" applyFont="1"/>
    <xf numFmtId="164" fontId="0" fillId="0" borderId="0" xfId="164" applyFont="1"/>
    <xf numFmtId="169" fontId="11" fillId="24" borderId="0" xfId="164" applyNumberFormat="1" applyFont="1" applyFill="1" applyBorder="1"/>
    <xf numFmtId="169" fontId="11" fillId="24" borderId="11" xfId="164" applyNumberFormat="1" applyFont="1" applyFill="1" applyBorder="1"/>
    <xf numFmtId="169" fontId="11" fillId="24" borderId="44" xfId="164" applyNumberFormat="1" applyFont="1" applyFill="1" applyBorder="1"/>
    <xf numFmtId="169" fontId="11" fillId="24" borderId="23" xfId="164" applyNumberFormat="1" applyFont="1" applyFill="1" applyBorder="1"/>
    <xf numFmtId="169" fontId="11" fillId="24" borderId="26" xfId="164" applyNumberFormat="1" applyFont="1" applyFill="1" applyBorder="1"/>
    <xf numFmtId="169" fontId="11" fillId="24" borderId="30" xfId="164" applyNumberFormat="1" applyFont="1" applyFill="1" applyBorder="1"/>
    <xf numFmtId="169" fontId="11" fillId="24" borderId="41" xfId="164" applyNumberFormat="1" applyFont="1" applyFill="1" applyBorder="1"/>
    <xf numFmtId="169" fontId="11" fillId="24" borderId="40" xfId="164" applyNumberFormat="1" applyFont="1" applyFill="1" applyBorder="1"/>
    <xf numFmtId="169" fontId="11" fillId="24" borderId="71" xfId="164" applyNumberFormat="1" applyFont="1" applyFill="1" applyBorder="1"/>
    <xf numFmtId="169" fontId="12" fillId="24" borderId="13" xfId="164" applyNumberFormat="1" applyFont="1" applyFill="1" applyBorder="1"/>
    <xf numFmtId="169" fontId="12" fillId="24" borderId="27" xfId="164" applyNumberFormat="1" applyFont="1" applyFill="1" applyBorder="1"/>
    <xf numFmtId="174" fontId="11" fillId="24" borderId="25" xfId="164" applyNumberFormat="1" applyFont="1" applyFill="1" applyBorder="1"/>
    <xf numFmtId="174" fontId="11" fillId="24" borderId="34" xfId="164" applyNumberFormat="1" applyFont="1" applyFill="1" applyBorder="1"/>
    <xf numFmtId="174" fontId="11" fillId="24" borderId="11" xfId="164" applyNumberFormat="1" applyFont="1" applyFill="1" applyBorder="1"/>
    <xf numFmtId="174" fontId="11" fillId="24" borderId="36" xfId="164" applyNumberFormat="1" applyFont="1" applyFill="1" applyBorder="1"/>
    <xf numFmtId="174" fontId="11" fillId="24" borderId="26" xfId="164" applyNumberFormat="1" applyFont="1" applyFill="1" applyBorder="1"/>
    <xf numFmtId="174" fontId="11" fillId="24" borderId="38" xfId="164" applyNumberFormat="1" applyFont="1" applyFill="1" applyBorder="1"/>
    <xf numFmtId="174" fontId="12" fillId="24" borderId="26" xfId="164" applyNumberFormat="1" applyFont="1" applyFill="1" applyBorder="1"/>
    <xf numFmtId="174" fontId="12" fillId="24" borderId="38" xfId="164" applyNumberFormat="1" applyFont="1" applyFill="1" applyBorder="1"/>
    <xf numFmtId="174" fontId="12" fillId="24" borderId="11" xfId="164" applyNumberFormat="1" applyFont="1" applyFill="1" applyBorder="1"/>
    <xf numFmtId="174" fontId="11" fillId="0" borderId="11" xfId="164" applyNumberFormat="1" applyFont="1" applyFill="1" applyBorder="1"/>
    <xf numFmtId="174" fontId="11" fillId="0" borderId="36" xfId="164" applyNumberFormat="1" applyFont="1" applyFill="1" applyBorder="1"/>
    <xf numFmtId="174" fontId="12" fillId="24" borderId="13" xfId="164" applyNumberFormat="1" applyFont="1" applyFill="1" applyBorder="1"/>
    <xf numFmtId="174" fontId="12" fillId="24" borderId="27" xfId="164" applyNumberFormat="1" applyFont="1" applyFill="1" applyBorder="1"/>
    <xf numFmtId="169" fontId="11" fillId="24" borderId="5" xfId="164" applyNumberFormat="1" applyFont="1" applyFill="1" applyBorder="1" applyAlignment="1">
      <alignment horizontal="center"/>
    </xf>
    <xf numFmtId="174" fontId="11" fillId="24" borderId="5" xfId="164" applyNumberFormat="1" applyFont="1" applyFill="1" applyBorder="1" applyAlignment="1">
      <alignment horizontal="center"/>
    </xf>
    <xf numFmtId="174" fontId="11" fillId="24" borderId="44" xfId="164" applyNumberFormat="1" applyFont="1" applyFill="1" applyBorder="1" applyAlignment="1">
      <alignment horizontal="center"/>
    </xf>
    <xf numFmtId="174" fontId="11" fillId="25" borderId="5" xfId="164" applyNumberFormat="1" applyFont="1" applyFill="1" applyBorder="1" applyAlignment="1">
      <alignment horizontal="center"/>
    </xf>
    <xf numFmtId="174" fontId="11" fillId="25" borderId="44" xfId="164" applyNumberFormat="1" applyFont="1" applyFill="1" applyBorder="1" applyAlignment="1">
      <alignment horizontal="center"/>
    </xf>
    <xf numFmtId="174" fontId="12" fillId="24" borderId="14" xfId="164" applyNumberFormat="1" applyFont="1" applyFill="1" applyBorder="1"/>
    <xf numFmtId="174" fontId="12" fillId="24" borderId="28" xfId="164" applyNumberFormat="1" applyFont="1" applyFill="1" applyBorder="1"/>
    <xf numFmtId="174" fontId="11" fillId="25" borderId="0" xfId="164" applyNumberFormat="1" applyFont="1" applyFill="1" applyBorder="1" applyAlignment="1">
      <alignment horizontal="center"/>
    </xf>
    <xf numFmtId="0" fontId="12" fillId="24" borderId="47" xfId="0" applyFont="1" applyFill="1" applyBorder="1" applyAlignment="1">
      <alignment horizontal="center" vertical="center"/>
    </xf>
    <xf numFmtId="0" fontId="11" fillId="24" borderId="48" xfId="0" applyFont="1" applyFill="1" applyBorder="1" applyAlignment="1">
      <alignment vertical="center"/>
    </xf>
    <xf numFmtId="0" fontId="42" fillId="24" borderId="49" xfId="0" applyFont="1" applyFill="1" applyBorder="1" applyAlignment="1">
      <alignment vertical="center"/>
    </xf>
    <xf numFmtId="0" fontId="41" fillId="24" borderId="49" xfId="0" applyFont="1" applyFill="1" applyBorder="1" applyAlignment="1">
      <alignment horizontal="center" vertical="center"/>
    </xf>
    <xf numFmtId="0" fontId="41" fillId="24" borderId="50" xfId="0" applyFont="1" applyFill="1" applyBorder="1" applyAlignment="1">
      <alignment horizontal="center" vertical="center"/>
    </xf>
    <xf numFmtId="0" fontId="41" fillId="24" borderId="51" xfId="0" applyFont="1" applyFill="1" applyBorder="1" applyAlignment="1">
      <alignment horizontal="center" vertical="center"/>
    </xf>
    <xf numFmtId="0" fontId="11" fillId="24" borderId="53" xfId="0" applyFont="1" applyFill="1" applyBorder="1" applyAlignment="1">
      <alignment vertical="center"/>
    </xf>
    <xf numFmtId="1" fontId="42" fillId="24" borderId="25" xfId="0" applyNumberFormat="1" applyFont="1" applyFill="1" applyBorder="1" applyAlignment="1">
      <alignment vertical="center"/>
    </xf>
    <xf numFmtId="1" fontId="42" fillId="24" borderId="55" xfId="0" applyNumberFormat="1" applyFont="1" applyFill="1" applyBorder="1" applyAlignment="1">
      <alignment vertical="center"/>
    </xf>
    <xf numFmtId="169" fontId="42" fillId="24" borderId="5" xfId="164" applyNumberFormat="1" applyFont="1" applyFill="1" applyBorder="1" applyAlignment="1">
      <alignment vertical="center"/>
    </xf>
    <xf numFmtId="169" fontId="42" fillId="24" borderId="11" xfId="164" applyNumberFormat="1" applyFont="1" applyFill="1" applyBorder="1" applyAlignment="1">
      <alignment vertical="center"/>
    </xf>
    <xf numFmtId="169" fontId="42" fillId="24" borderId="44" xfId="164" applyNumberFormat="1" applyFont="1" applyFill="1" applyBorder="1" applyAlignment="1">
      <alignment vertical="center"/>
    </xf>
    <xf numFmtId="169" fontId="0" fillId="0" borderId="0" xfId="164" applyNumberFormat="1" applyFont="1"/>
    <xf numFmtId="0" fontId="11" fillId="24" borderId="56" xfId="0" applyFont="1" applyFill="1" applyBorder="1" applyAlignment="1">
      <alignment horizontal="left" vertical="center"/>
    </xf>
    <xf numFmtId="169" fontId="42" fillId="24" borderId="36" xfId="164" applyNumberFormat="1" applyFont="1" applyFill="1" applyBorder="1" applyAlignment="1">
      <alignment vertical="center"/>
    </xf>
    <xf numFmtId="169" fontId="0" fillId="0" borderId="0" xfId="164" applyNumberFormat="1" applyFont="1" applyFill="1"/>
    <xf numFmtId="169" fontId="42" fillId="0" borderId="5" xfId="164" applyNumberFormat="1" applyFont="1" applyFill="1" applyBorder="1" applyAlignment="1">
      <alignment vertical="center"/>
    </xf>
    <xf numFmtId="0" fontId="11" fillId="24" borderId="29" xfId="0" applyFont="1" applyFill="1" applyBorder="1" applyAlignment="1">
      <alignment vertical="center"/>
    </xf>
    <xf numFmtId="0" fontId="11" fillId="24" borderId="21" xfId="0" applyFont="1" applyFill="1" applyBorder="1" applyAlignment="1">
      <alignment vertical="center"/>
    </xf>
    <xf numFmtId="0" fontId="42" fillId="24" borderId="24" xfId="0" applyFont="1" applyFill="1" applyBorder="1" applyAlignment="1">
      <alignment vertical="center"/>
    </xf>
    <xf numFmtId="169" fontId="42" fillId="24" borderId="30" xfId="164" applyNumberFormat="1" applyFont="1" applyFill="1" applyBorder="1" applyAlignment="1">
      <alignment vertical="center"/>
    </xf>
    <xf numFmtId="176" fontId="42" fillId="24" borderId="5" xfId="164" applyNumberFormat="1" applyFont="1" applyFill="1" applyBorder="1" applyAlignment="1">
      <alignment vertical="center"/>
    </xf>
    <xf numFmtId="176" fontId="42" fillId="24" borderId="11" xfId="164" applyNumberFormat="1" applyFont="1" applyFill="1" applyBorder="1" applyAlignment="1">
      <alignment vertical="center"/>
    </xf>
    <xf numFmtId="176" fontId="42" fillId="24" borderId="36" xfId="164" applyNumberFormat="1" applyFont="1" applyFill="1" applyBorder="1" applyAlignment="1">
      <alignment vertical="center"/>
    </xf>
    <xf numFmtId="169" fontId="41" fillId="24" borderId="5" xfId="164" applyNumberFormat="1" applyFont="1" applyFill="1" applyBorder="1" applyAlignment="1">
      <alignment horizontal="right" vertical="center"/>
    </xf>
    <xf numFmtId="169" fontId="46" fillId="24" borderId="5" xfId="164" applyNumberFormat="1" applyFont="1" applyFill="1" applyBorder="1" applyAlignment="1">
      <alignment vertical="center"/>
    </xf>
    <xf numFmtId="3" fontId="0" fillId="0" borderId="0" xfId="0" applyNumberFormat="1"/>
    <xf numFmtId="169" fontId="41" fillId="24" borderId="5" xfId="164" applyNumberFormat="1" applyFont="1" applyFill="1" applyBorder="1" applyAlignment="1">
      <alignment vertical="center"/>
    </xf>
    <xf numFmtId="169" fontId="41" fillId="24" borderId="60" xfId="164" applyNumberFormat="1" applyFont="1" applyFill="1" applyBorder="1" applyAlignment="1">
      <alignment vertical="center"/>
    </xf>
    <xf numFmtId="169" fontId="12" fillId="0" borderId="0" xfId="164" applyNumberFormat="1" applyFont="1" applyFill="1" applyBorder="1"/>
    <xf numFmtId="0" fontId="51" fillId="26" borderId="0" xfId="0" applyFont="1" applyFill="1"/>
    <xf numFmtId="175" fontId="51" fillId="26" borderId="0" xfId="0" applyNumberFormat="1" applyFont="1" applyFill="1" applyAlignment="1">
      <alignment horizontal="right"/>
    </xf>
    <xf numFmtId="169" fontId="11" fillId="24" borderId="36" xfId="164" applyNumberFormat="1" applyFont="1" applyFill="1" applyBorder="1"/>
    <xf numFmtId="169" fontId="11" fillId="24" borderId="11" xfId="164" applyNumberFormat="1" applyFont="1" applyFill="1" applyBorder="1" applyAlignment="1">
      <alignment horizontal="center"/>
    </xf>
    <xf numFmtId="169" fontId="11" fillId="24" borderId="40" xfId="164" applyNumberFormat="1" applyFont="1" applyFill="1" applyBorder="1" applyAlignment="1">
      <alignment horizontal="center"/>
    </xf>
    <xf numFmtId="169" fontId="11" fillId="24" borderId="40" xfId="164" applyNumberFormat="1" applyFont="1" applyFill="1" applyBorder="1" applyAlignment="1">
      <alignment horizontal="right"/>
    </xf>
    <xf numFmtId="169" fontId="11" fillId="24" borderId="18" xfId="164" applyNumberFormat="1" applyFont="1" applyFill="1" applyBorder="1" applyAlignment="1">
      <alignment horizontal="right"/>
    </xf>
    <xf numFmtId="169" fontId="0" fillId="24" borderId="11" xfId="164" applyNumberFormat="1" applyFont="1" applyFill="1" applyBorder="1"/>
    <xf numFmtId="169" fontId="0" fillId="24" borderId="36" xfId="164" applyNumberFormat="1" applyFont="1" applyFill="1" applyBorder="1"/>
    <xf numFmtId="169" fontId="0" fillId="24" borderId="5" xfId="164" applyNumberFormat="1" applyFont="1" applyFill="1" applyBorder="1" applyAlignment="1">
      <alignment horizontal="center"/>
    </xf>
    <xf numFmtId="169" fontId="0" fillId="24" borderId="44" xfId="164" applyNumberFormat="1" applyFont="1" applyFill="1" applyBorder="1" applyAlignment="1">
      <alignment horizontal="center"/>
    </xf>
    <xf numFmtId="169" fontId="12" fillId="24" borderId="14" xfId="164" applyNumberFormat="1" applyFont="1" applyFill="1" applyBorder="1"/>
    <xf numFmtId="169" fontId="12" fillId="24" borderId="28" xfId="164" applyNumberFormat="1" applyFont="1" applyFill="1" applyBorder="1"/>
    <xf numFmtId="169" fontId="42" fillId="30" borderId="5" xfId="164" applyNumberFormat="1" applyFont="1" applyFill="1" applyBorder="1" applyAlignment="1">
      <alignment vertical="center"/>
    </xf>
    <xf numFmtId="169" fontId="42" fillId="30" borderId="24" xfId="164" applyNumberFormat="1" applyFont="1" applyFill="1" applyBorder="1" applyAlignment="1">
      <alignment vertical="center"/>
    </xf>
    <xf numFmtId="165" fontId="0" fillId="0" borderId="0" xfId="40" applyFont="1"/>
    <xf numFmtId="0" fontId="84" fillId="0" borderId="11" xfId="0" applyFont="1" applyBorder="1"/>
    <xf numFmtId="165" fontId="85" fillId="0" borderId="11" xfId="40" applyFont="1" applyBorder="1"/>
    <xf numFmtId="165" fontId="0" fillId="0" borderId="11" xfId="40" applyFont="1" applyBorder="1"/>
    <xf numFmtId="165" fontId="83" fillId="0" borderId="11" xfId="40" applyFont="1" applyBorder="1"/>
    <xf numFmtId="0" fontId="0" fillId="0" borderId="11" xfId="0" applyBorder="1"/>
    <xf numFmtId="40" fontId="83" fillId="0" borderId="11" xfId="40" applyNumberFormat="1" applyFont="1" applyBorder="1" applyAlignment="1">
      <alignment horizontal="center"/>
    </xf>
    <xf numFmtId="0" fontId="83" fillId="0" borderId="11" xfId="0" applyFont="1" applyBorder="1"/>
    <xf numFmtId="0" fontId="84" fillId="34" borderId="13" xfId="0" applyFont="1" applyFill="1" applyBorder="1"/>
    <xf numFmtId="0" fontId="0" fillId="34" borderId="13" xfId="0" applyFill="1" applyBorder="1"/>
    <xf numFmtId="165" fontId="83" fillId="34" borderId="13" xfId="40" applyFont="1" applyFill="1" applyBorder="1"/>
    <xf numFmtId="0" fontId="84" fillId="34" borderId="13" xfId="0" applyFont="1" applyFill="1" applyBorder="1" applyAlignment="1">
      <alignment horizontal="left"/>
    </xf>
    <xf numFmtId="0" fontId="0" fillId="34" borderId="13" xfId="0" applyFill="1" applyBorder="1" applyAlignment="1">
      <alignment horizontal="left"/>
    </xf>
    <xf numFmtId="9" fontId="86" fillId="34" borderId="13" xfId="56" applyFont="1" applyFill="1" applyBorder="1" applyAlignment="1">
      <alignment horizontal="center"/>
    </xf>
    <xf numFmtId="0" fontId="87" fillId="0" borderId="0" xfId="0" applyFont="1"/>
    <xf numFmtId="0" fontId="11" fillId="0" borderId="20" xfId="0" applyFont="1" applyBorder="1"/>
    <xf numFmtId="0" fontId="11" fillId="0" borderId="21" xfId="0" applyFont="1" applyBorder="1"/>
    <xf numFmtId="164" fontId="88" fillId="0" borderId="0" xfId="0" applyNumberFormat="1" applyFont="1"/>
    <xf numFmtId="0" fontId="11" fillId="24" borderId="22" xfId="0" applyFont="1" applyFill="1" applyBorder="1" applyAlignment="1">
      <alignment horizontal="center"/>
    </xf>
    <xf numFmtId="169" fontId="11" fillId="24" borderId="22" xfId="164" applyNumberFormat="1" applyFont="1" applyFill="1" applyBorder="1"/>
    <xf numFmtId="169" fontId="11" fillId="24" borderId="21" xfId="164" applyNumberFormat="1" applyFont="1" applyFill="1" applyBorder="1"/>
    <xf numFmtId="169" fontId="11" fillId="24" borderId="105" xfId="164" applyNumberFormat="1" applyFont="1" applyFill="1" applyBorder="1"/>
    <xf numFmtId="0" fontId="11" fillId="24" borderId="26" xfId="0" applyFont="1" applyFill="1" applyBorder="1" applyAlignment="1">
      <alignment horizontal="center" vertical="center"/>
    </xf>
    <xf numFmtId="0" fontId="11" fillId="24" borderId="13" xfId="0" applyFont="1" applyFill="1" applyBorder="1" applyAlignment="1">
      <alignment horizontal="center"/>
    </xf>
    <xf numFmtId="174" fontId="89" fillId="0" borderId="11" xfId="164" applyNumberFormat="1" applyFont="1" applyFill="1" applyBorder="1"/>
    <xf numFmtId="0" fontId="11" fillId="24" borderId="14" xfId="0" applyFont="1" applyFill="1" applyBorder="1"/>
    <xf numFmtId="0" fontId="42" fillId="24" borderId="50" xfId="0" applyFont="1" applyFill="1" applyBorder="1" applyAlignment="1">
      <alignment vertical="center"/>
    </xf>
    <xf numFmtId="0" fontId="42" fillId="24" borderId="25" xfId="0" applyFont="1" applyFill="1" applyBorder="1" applyAlignment="1">
      <alignment vertical="center"/>
    </xf>
    <xf numFmtId="169" fontId="42" fillId="37" borderId="5" xfId="164" applyNumberFormat="1" applyFont="1" applyFill="1" applyBorder="1" applyAlignment="1">
      <alignment vertical="center"/>
    </xf>
    <xf numFmtId="169" fontId="42" fillId="37" borderId="24" xfId="164" applyNumberFormat="1" applyFont="1" applyFill="1" applyBorder="1" applyAlignment="1">
      <alignment vertical="center"/>
    </xf>
    <xf numFmtId="169" fontId="42" fillId="24" borderId="24" xfId="164" applyNumberFormat="1" applyFont="1" applyFill="1" applyBorder="1" applyAlignment="1">
      <alignment vertical="center"/>
    </xf>
    <xf numFmtId="0" fontId="42" fillId="24" borderId="26" xfId="0" applyFont="1" applyFill="1" applyBorder="1" applyAlignment="1">
      <alignment vertical="center"/>
    </xf>
    <xf numFmtId="0" fontId="41" fillId="24" borderId="31" xfId="0" applyFont="1" applyFill="1" applyBorder="1" applyAlignment="1">
      <alignment horizontal="center" vertical="center"/>
    </xf>
    <xf numFmtId="169" fontId="41" fillId="24" borderId="11" xfId="164" applyNumberFormat="1" applyFont="1" applyFill="1" applyBorder="1" applyAlignment="1">
      <alignment horizontal="right" vertical="center"/>
    </xf>
    <xf numFmtId="169" fontId="46" fillId="24" borderId="11" xfId="164" applyNumberFormat="1" applyFont="1" applyFill="1" applyBorder="1" applyAlignment="1">
      <alignment vertical="center"/>
    </xf>
    <xf numFmtId="169" fontId="41" fillId="24" borderId="11" xfId="164" applyNumberFormat="1" applyFont="1" applyFill="1" applyBorder="1" applyAlignment="1">
      <alignment vertical="center"/>
    </xf>
    <xf numFmtId="169" fontId="90" fillId="31" borderId="60" xfId="164" applyNumberFormat="1" applyFont="1" applyFill="1" applyBorder="1" applyAlignment="1">
      <alignment vertical="center"/>
    </xf>
    <xf numFmtId="169" fontId="41" fillId="24" borderId="40" xfId="164" applyNumberFormat="1" applyFont="1" applyFill="1" applyBorder="1" applyAlignment="1">
      <alignment vertical="center"/>
    </xf>
    <xf numFmtId="0" fontId="92" fillId="0" borderId="0" xfId="0" applyFont="1"/>
    <xf numFmtId="0" fontId="11" fillId="24" borderId="0" xfId="169" applyFill="1"/>
    <xf numFmtId="0" fontId="11" fillId="0" borderId="0" xfId="169"/>
    <xf numFmtId="0" fontId="12" fillId="24" borderId="65" xfId="169" applyFont="1" applyFill="1" applyBorder="1" applyAlignment="1">
      <alignment horizontal="left"/>
    </xf>
    <xf numFmtId="0" fontId="11" fillId="24" borderId="57" xfId="169" applyFill="1" applyBorder="1"/>
    <xf numFmtId="0" fontId="11" fillId="24" borderId="59" xfId="169" applyFill="1" applyBorder="1"/>
    <xf numFmtId="0" fontId="12" fillId="24" borderId="39" xfId="169" applyFont="1" applyFill="1" applyBorder="1"/>
    <xf numFmtId="0" fontId="11" fillId="24" borderId="41" xfId="169" applyFill="1" applyBorder="1"/>
    <xf numFmtId="181" fontId="11" fillId="24" borderId="71" xfId="169" applyNumberFormat="1" applyFill="1" applyBorder="1"/>
    <xf numFmtId="0" fontId="11" fillId="0" borderId="0" xfId="169" applyAlignment="1">
      <alignment horizontal="center"/>
    </xf>
    <xf numFmtId="0" fontId="12" fillId="24" borderId="57" xfId="169" applyFont="1" applyFill="1" applyBorder="1" applyAlignment="1">
      <alignment horizontal="center"/>
    </xf>
    <xf numFmtId="0" fontId="14" fillId="24" borderId="57" xfId="169" applyFont="1" applyFill="1" applyBorder="1" applyAlignment="1">
      <alignment horizontal="center"/>
    </xf>
    <xf numFmtId="0" fontId="12" fillId="24" borderId="0" xfId="169" applyFont="1" applyFill="1" applyAlignment="1">
      <alignment horizontal="left"/>
    </xf>
    <xf numFmtId="0" fontId="12" fillId="24" borderId="0" xfId="169" applyFont="1" applyFill="1" applyAlignment="1">
      <alignment horizontal="center"/>
    </xf>
    <xf numFmtId="181" fontId="12" fillId="24" borderId="0" xfId="169" applyNumberFormat="1" applyFont="1" applyFill="1" applyAlignment="1">
      <alignment horizontal="center"/>
    </xf>
    <xf numFmtId="0" fontId="12" fillId="24" borderId="65" xfId="169" applyFont="1" applyFill="1" applyBorder="1"/>
    <xf numFmtId="0" fontId="11" fillId="24" borderId="73" xfId="169" applyFill="1" applyBorder="1"/>
    <xf numFmtId="0" fontId="11" fillId="24" borderId="35" xfId="169" applyFill="1" applyBorder="1"/>
    <xf numFmtId="0" fontId="11" fillId="24" borderId="65" xfId="169" applyFill="1" applyBorder="1"/>
    <xf numFmtId="0" fontId="11" fillId="24" borderId="41" xfId="169" applyFill="1" applyBorder="1" applyAlignment="1">
      <alignment horizontal="center"/>
    </xf>
    <xf numFmtId="175" fontId="11" fillId="24" borderId="41" xfId="169" applyNumberFormat="1" applyFill="1" applyBorder="1" applyAlignment="1">
      <alignment horizontal="center"/>
    </xf>
    <xf numFmtId="0" fontId="11" fillId="24" borderId="44" xfId="169" applyFill="1" applyBorder="1"/>
    <xf numFmtId="0" fontId="11" fillId="24" borderId="39" xfId="169" applyFill="1" applyBorder="1"/>
    <xf numFmtId="0" fontId="11" fillId="24" borderId="73" xfId="169" applyFill="1" applyBorder="1" applyAlignment="1">
      <alignment horizontal="center"/>
    </xf>
    <xf numFmtId="0" fontId="11" fillId="24" borderId="0" xfId="169" applyFill="1" applyAlignment="1">
      <alignment horizontal="center"/>
    </xf>
    <xf numFmtId="0" fontId="14" fillId="24" borderId="0" xfId="169" applyFont="1" applyFill="1" applyAlignment="1">
      <alignment horizontal="center" vertical="center" wrapText="1"/>
    </xf>
    <xf numFmtId="0" fontId="12" fillId="24" borderId="72" xfId="169" applyFont="1" applyFill="1" applyBorder="1"/>
    <xf numFmtId="0" fontId="12" fillId="24" borderId="73" xfId="169" applyFont="1" applyFill="1" applyBorder="1" applyAlignment="1">
      <alignment vertical="center" wrapText="1"/>
    </xf>
    <xf numFmtId="0" fontId="12" fillId="24" borderId="106" xfId="169" applyFont="1" applyFill="1" applyBorder="1" applyAlignment="1">
      <alignment vertical="top" wrapText="1"/>
    </xf>
    <xf numFmtId="166" fontId="95" fillId="24" borderId="44" xfId="169" applyNumberFormat="1" applyFont="1" applyFill="1" applyBorder="1"/>
    <xf numFmtId="0" fontId="11" fillId="24" borderId="0" xfId="169" applyFill="1" applyAlignment="1">
      <alignment vertical="center" wrapText="1"/>
    </xf>
    <xf numFmtId="0" fontId="12" fillId="24" borderId="0" xfId="169" applyFont="1" applyFill="1" applyAlignment="1">
      <alignment vertical="top" wrapText="1"/>
    </xf>
    <xf numFmtId="0" fontId="14" fillId="0" borderId="0" xfId="169" applyFont="1"/>
    <xf numFmtId="0" fontId="11" fillId="24" borderId="71" xfId="169" applyFill="1" applyBorder="1"/>
    <xf numFmtId="17" fontId="11" fillId="0" borderId="20" xfId="169" applyNumberFormat="1" applyBorder="1"/>
    <xf numFmtId="175" fontId="11" fillId="0" borderId="54" xfId="169" applyNumberFormat="1" applyBorder="1"/>
    <xf numFmtId="17" fontId="11" fillId="0" borderId="22" xfId="169" applyNumberFormat="1" applyBorder="1"/>
    <xf numFmtId="175" fontId="11" fillId="0" borderId="5" xfId="169" applyNumberFormat="1" applyBorder="1"/>
    <xf numFmtId="0" fontId="11" fillId="0" borderId="22" xfId="169" applyBorder="1"/>
    <xf numFmtId="0" fontId="11" fillId="0" borderId="5" xfId="169" applyBorder="1"/>
    <xf numFmtId="0" fontId="11" fillId="0" borderId="21" xfId="169" applyBorder="1"/>
    <xf numFmtId="9" fontId="0" fillId="0" borderId="24" xfId="56" applyFont="1" applyBorder="1"/>
    <xf numFmtId="0" fontId="96" fillId="0" borderId="0" xfId="169" applyFont="1" applyAlignment="1">
      <alignment horizontal="left" vertical="center"/>
    </xf>
    <xf numFmtId="0" fontId="0" fillId="35" borderId="0" xfId="0" applyFill="1"/>
    <xf numFmtId="173" fontId="0" fillId="35" borderId="0" xfId="0" applyNumberFormat="1" applyFill="1"/>
    <xf numFmtId="0" fontId="14" fillId="24" borderId="0" xfId="169" applyFont="1" applyFill="1" applyAlignment="1">
      <alignment horizontal="center"/>
    </xf>
    <xf numFmtId="0" fontId="11" fillId="24" borderId="0" xfId="169" applyFill="1" applyAlignment="1">
      <alignment horizontal="center" vertical="center" wrapText="1"/>
    </xf>
    <xf numFmtId="3" fontId="15" fillId="30" borderId="11" xfId="0" applyNumberFormat="1" applyFont="1" applyFill="1" applyBorder="1"/>
    <xf numFmtId="0" fontId="70" fillId="0" borderId="0" xfId="0" applyFont="1"/>
    <xf numFmtId="0" fontId="14" fillId="27" borderId="25" xfId="0" applyFont="1" applyFill="1" applyBorder="1" applyAlignment="1">
      <alignment horizontal="center"/>
    </xf>
    <xf numFmtId="182" fontId="11" fillId="0" borderId="25" xfId="40" applyNumberFormat="1" applyFont="1" applyBorder="1"/>
    <xf numFmtId="175" fontId="11" fillId="0" borderId="41" xfId="169" applyNumberFormat="1" applyBorder="1"/>
    <xf numFmtId="10" fontId="99" fillId="25" borderId="13" xfId="216" applyNumberFormat="1" applyFont="1" applyFill="1" applyBorder="1" applyAlignment="1">
      <alignment horizontal="center"/>
    </xf>
    <xf numFmtId="181" fontId="12" fillId="24" borderId="57" xfId="169" applyNumberFormat="1" applyFont="1" applyFill="1" applyBorder="1" applyAlignment="1">
      <alignment horizontal="center"/>
    </xf>
    <xf numFmtId="175" fontId="97" fillId="38" borderId="41" xfId="213" applyNumberFormat="1" applyFont="1" applyFill="1" applyBorder="1"/>
    <xf numFmtId="0" fontId="100" fillId="39" borderId="107" xfId="169" applyFont="1" applyFill="1" applyBorder="1" applyAlignment="1">
      <alignment horizontal="center"/>
    </xf>
    <xf numFmtId="10" fontId="11" fillId="0" borderId="0" xfId="56" applyNumberFormat="1" applyFont="1"/>
    <xf numFmtId="0" fontId="101" fillId="39" borderId="64" xfId="169" applyFont="1" applyFill="1" applyBorder="1"/>
    <xf numFmtId="0" fontId="11" fillId="0" borderId="24" xfId="169" applyBorder="1"/>
    <xf numFmtId="0" fontId="11" fillId="0" borderId="64" xfId="169" applyBorder="1"/>
    <xf numFmtId="0" fontId="11" fillId="0" borderId="43" xfId="169" applyBorder="1"/>
    <xf numFmtId="10" fontId="11" fillId="0" borderId="13" xfId="56" applyNumberFormat="1" applyFont="1" applyBorder="1" applyAlignment="1">
      <alignment horizontal="center" wrapText="1"/>
    </xf>
    <xf numFmtId="10" fontId="11" fillId="0" borderId="43" xfId="56" applyNumberFormat="1" applyFont="1" applyBorder="1" applyAlignment="1">
      <alignment horizontal="center" wrapText="1"/>
    </xf>
    <xf numFmtId="175" fontId="11" fillId="40" borderId="25" xfId="169" applyNumberFormat="1" applyFill="1" applyBorder="1"/>
    <xf numFmtId="0" fontId="41" fillId="0" borderId="25" xfId="169" applyFont="1" applyBorder="1" applyAlignment="1">
      <alignment horizontal="right"/>
    </xf>
    <xf numFmtId="2" fontId="11" fillId="0" borderId="0" xfId="169" applyNumberFormat="1"/>
    <xf numFmtId="2" fontId="11" fillId="40" borderId="25" xfId="169" applyNumberFormat="1" applyFill="1" applyBorder="1"/>
    <xf numFmtId="183" fontId="12" fillId="0" borderId="22" xfId="169" applyNumberFormat="1" applyFont="1" applyBorder="1"/>
    <xf numFmtId="175" fontId="11" fillId="40" borderId="11" xfId="169" applyNumberFormat="1" applyFill="1" applyBorder="1"/>
    <xf numFmtId="0" fontId="41" fillId="0" borderId="11" xfId="169" applyFont="1" applyBorder="1" applyAlignment="1">
      <alignment horizontal="right"/>
    </xf>
    <xf numFmtId="182" fontId="11" fillId="0" borderId="11" xfId="40" applyNumberFormat="1" applyFont="1" applyBorder="1"/>
    <xf numFmtId="182" fontId="11" fillId="0" borderId="11" xfId="40" applyNumberFormat="1" applyFont="1" applyBorder="1" applyAlignment="1">
      <alignment horizontal="center"/>
    </xf>
    <xf numFmtId="183" fontId="12" fillId="0" borderId="25" xfId="169" applyNumberFormat="1" applyFont="1" applyBorder="1"/>
    <xf numFmtId="175" fontId="12" fillId="0" borderId="13" xfId="169" applyNumberFormat="1" applyFont="1" applyBorder="1"/>
    <xf numFmtId="0" fontId="11" fillId="0" borderId="13" xfId="169" applyBorder="1"/>
    <xf numFmtId="184" fontId="11" fillId="0" borderId="13" xfId="40" applyNumberFormat="1" applyFont="1" applyBorder="1" applyAlignment="1">
      <alignment horizontal="center"/>
    </xf>
    <xf numFmtId="182" fontId="11" fillId="0" borderId="13" xfId="40" applyNumberFormat="1" applyFont="1" applyBorder="1"/>
    <xf numFmtId="169" fontId="102" fillId="24" borderId="0" xfId="218" applyNumberFormat="1" applyFont="1" applyFill="1" applyBorder="1"/>
    <xf numFmtId="169" fontId="79" fillId="0" borderId="0" xfId="218" applyNumberFormat="1" applyFont="1" applyFill="1" applyBorder="1" applyAlignment="1">
      <alignment horizontal="center"/>
    </xf>
    <xf numFmtId="169" fontId="102" fillId="0" borderId="0" xfId="218" applyNumberFormat="1" applyFont="1" applyFill="1" applyBorder="1"/>
    <xf numFmtId="169" fontId="79" fillId="0" borderId="0" xfId="218" applyNumberFormat="1" applyFont="1" applyFill="1" applyBorder="1"/>
    <xf numFmtId="168" fontId="102" fillId="0" borderId="0" xfId="216" applyNumberFormat="1" applyFont="1" applyFill="1" applyBorder="1"/>
    <xf numFmtId="169" fontId="79" fillId="0" borderId="0" xfId="218" applyNumberFormat="1" applyFont="1" applyFill="1" applyBorder="1" applyAlignment="1">
      <alignment horizontal="right"/>
    </xf>
    <xf numFmtId="10" fontId="79" fillId="0" borderId="0" xfId="216" applyNumberFormat="1" applyFont="1" applyFill="1" applyBorder="1" applyAlignment="1">
      <alignment horizontal="center"/>
    </xf>
    <xf numFmtId="166" fontId="102" fillId="0" borderId="0" xfId="216" applyNumberFormat="1" applyFont="1" applyFill="1" applyBorder="1" applyAlignment="1">
      <alignment horizontal="center"/>
    </xf>
    <xf numFmtId="1" fontId="102" fillId="0" borderId="0" xfId="216" applyNumberFormat="1" applyFont="1" applyFill="1" applyBorder="1" applyAlignment="1">
      <alignment horizontal="center"/>
    </xf>
    <xf numFmtId="169" fontId="102" fillId="0" borderId="0" xfId="218" applyNumberFormat="1" applyFont="1" applyFill="1" applyBorder="1" applyAlignment="1">
      <alignment vertical="center"/>
    </xf>
    <xf numFmtId="169" fontId="79" fillId="0" borderId="0" xfId="218" applyNumberFormat="1" applyFont="1" applyFill="1" applyBorder="1" applyAlignment="1">
      <alignment vertical="center"/>
    </xf>
    <xf numFmtId="169" fontId="105" fillId="0" borderId="0" xfId="218" applyNumberFormat="1" applyFont="1" applyFill="1" applyBorder="1" applyAlignment="1">
      <alignment vertical="center"/>
    </xf>
    <xf numFmtId="169" fontId="102" fillId="0" borderId="0" xfId="218" applyNumberFormat="1" applyFont="1" applyFill="1" applyBorder="1" applyAlignment="1">
      <alignment horizontal="right" vertical="center"/>
    </xf>
    <xf numFmtId="176" fontId="79" fillId="0" borderId="0" xfId="218" applyNumberFormat="1" applyFont="1" applyFill="1" applyBorder="1" applyAlignment="1">
      <alignment vertical="center"/>
    </xf>
    <xf numFmtId="174" fontId="79" fillId="0" borderId="0" xfId="218" applyNumberFormat="1" applyFont="1" applyFill="1" applyBorder="1" applyAlignment="1">
      <alignment horizontal="center"/>
    </xf>
    <xf numFmtId="174" fontId="102" fillId="0" borderId="0" xfId="218" applyNumberFormat="1" applyFont="1" applyFill="1" applyBorder="1"/>
    <xf numFmtId="174" fontId="79" fillId="0" borderId="0" xfId="218" applyNumberFormat="1" applyFont="1" applyFill="1" applyBorder="1"/>
    <xf numFmtId="0" fontId="79" fillId="0" borderId="0" xfId="219" applyFont="1"/>
    <xf numFmtId="169" fontId="79" fillId="0" borderId="0" xfId="219" applyNumberFormat="1" applyFont="1"/>
    <xf numFmtId="169" fontId="102" fillId="0" borderId="0" xfId="219" applyNumberFormat="1" applyFont="1"/>
    <xf numFmtId="0" fontId="102" fillId="0" borderId="0" xfId="219" applyFont="1" applyAlignment="1">
      <alignment horizontal="left" vertical="center" indent="1"/>
    </xf>
    <xf numFmtId="0" fontId="106" fillId="0" borderId="0" xfId="219" applyFont="1" applyAlignment="1">
      <alignment horizontal="center"/>
    </xf>
    <xf numFmtId="0" fontId="108" fillId="0" borderId="0" xfId="219" applyFont="1" applyAlignment="1">
      <alignment horizontal="left"/>
    </xf>
    <xf numFmtId="169" fontId="79" fillId="0" borderId="31" xfId="218" applyNumberFormat="1" applyFont="1" applyFill="1" applyBorder="1"/>
    <xf numFmtId="0" fontId="107" fillId="33" borderId="107" xfId="219" applyFont="1" applyFill="1" applyBorder="1"/>
    <xf numFmtId="169" fontId="79" fillId="24" borderId="40" xfId="218" applyNumberFormat="1" applyFont="1" applyFill="1" applyBorder="1"/>
    <xf numFmtId="169" fontId="79" fillId="0" borderId="40" xfId="218" applyNumberFormat="1" applyFont="1" applyFill="1" applyBorder="1"/>
    <xf numFmtId="169" fontId="79" fillId="24" borderId="11" xfId="218" applyNumberFormat="1" applyFont="1" applyFill="1" applyBorder="1"/>
    <xf numFmtId="169" fontId="79" fillId="24" borderId="31" xfId="218" applyNumberFormat="1" applyFont="1" applyFill="1" applyBorder="1"/>
    <xf numFmtId="41" fontId="79" fillId="24" borderId="11" xfId="219" applyNumberFormat="1" applyFont="1" applyFill="1" applyBorder="1"/>
    <xf numFmtId="169" fontId="79" fillId="24" borderId="0" xfId="218" applyNumberFormat="1" applyFont="1" applyFill="1" applyBorder="1"/>
    <xf numFmtId="169" fontId="79" fillId="0" borderId="24" xfId="218" applyNumberFormat="1" applyFont="1" applyFill="1" applyBorder="1"/>
    <xf numFmtId="169" fontId="79" fillId="0" borderId="26" xfId="218" applyNumberFormat="1" applyFont="1" applyFill="1" applyBorder="1"/>
    <xf numFmtId="169" fontId="79" fillId="0" borderId="23" xfId="218" applyNumberFormat="1" applyFont="1" applyFill="1" applyBorder="1"/>
    <xf numFmtId="169" fontId="79" fillId="24" borderId="5" xfId="218" applyNumberFormat="1" applyFont="1" applyFill="1" applyBorder="1"/>
    <xf numFmtId="169" fontId="79" fillId="24" borderId="58" xfId="218" applyNumberFormat="1" applyFont="1" applyFill="1" applyBorder="1"/>
    <xf numFmtId="169" fontId="79" fillId="24" borderId="57" xfId="218" applyNumberFormat="1" applyFont="1" applyFill="1" applyBorder="1"/>
    <xf numFmtId="169" fontId="110" fillId="0" borderId="26" xfId="218" applyNumberFormat="1" applyFont="1" applyFill="1" applyBorder="1"/>
    <xf numFmtId="169" fontId="79" fillId="0" borderId="11" xfId="218" applyNumberFormat="1" applyFont="1" applyFill="1" applyBorder="1"/>
    <xf numFmtId="164" fontId="79" fillId="0" borderId="0" xfId="218" applyFont="1"/>
    <xf numFmtId="164" fontId="79" fillId="0" borderId="0" xfId="218" applyFont="1" applyBorder="1"/>
    <xf numFmtId="10" fontId="79" fillId="25" borderId="0" xfId="216" applyNumberFormat="1" applyFont="1" applyFill="1" applyBorder="1" applyAlignment="1">
      <alignment horizontal="center"/>
    </xf>
    <xf numFmtId="168" fontId="79" fillId="0" borderId="0" xfId="216" applyNumberFormat="1" applyFont="1" applyBorder="1"/>
    <xf numFmtId="10" fontId="79" fillId="25" borderId="26" xfId="216" applyNumberFormat="1" applyFont="1" applyFill="1" applyBorder="1" applyAlignment="1">
      <alignment horizontal="center"/>
    </xf>
    <xf numFmtId="10" fontId="79" fillId="25" borderId="31" xfId="216" applyNumberFormat="1" applyFont="1" applyFill="1" applyBorder="1" applyAlignment="1">
      <alignment horizontal="center"/>
    </xf>
    <xf numFmtId="10" fontId="79" fillId="0" borderId="31" xfId="216" applyNumberFormat="1" applyFont="1" applyFill="1" applyBorder="1" applyAlignment="1">
      <alignment horizontal="center"/>
    </xf>
    <xf numFmtId="0" fontId="11" fillId="30" borderId="35" xfId="0" applyFont="1" applyFill="1" applyBorder="1"/>
    <xf numFmtId="188" fontId="11" fillId="0" borderId="0" xfId="225" applyNumberFormat="1"/>
    <xf numFmtId="0" fontId="112" fillId="0" borderId="0" xfId="226" applyFont="1" applyAlignment="1">
      <alignment horizontal="center" vertical="center"/>
    </xf>
    <xf numFmtId="0" fontId="48" fillId="0" borderId="0" xfId="226" applyFont="1" applyAlignment="1">
      <alignment horizontal="left" vertical="center"/>
    </xf>
    <xf numFmtId="0" fontId="52" fillId="0" borderId="0" xfId="226" applyFont="1" applyAlignment="1">
      <alignment horizontal="center" vertical="center"/>
    </xf>
    <xf numFmtId="0" fontId="61" fillId="41" borderId="63" xfId="226" applyFont="1" applyFill="1" applyBorder="1" applyAlignment="1">
      <alignment horizontal="centerContinuous" vertical="center" wrapText="1"/>
    </xf>
    <xf numFmtId="0" fontId="52" fillId="41" borderId="43" xfId="226" applyFont="1" applyFill="1" applyBorder="1" applyAlignment="1">
      <alignment horizontal="centerContinuous" vertical="center" wrapText="1"/>
    </xf>
    <xf numFmtId="0" fontId="49" fillId="0" borderId="24" xfId="226" applyFont="1" applyBorder="1" applyAlignment="1">
      <alignment horizontal="left" vertical="center"/>
    </xf>
    <xf numFmtId="0" fontId="49" fillId="27" borderId="20" xfId="226" applyFont="1" applyFill="1" applyBorder="1" applyAlignment="1">
      <alignment horizontal="centerContinuous" vertical="center"/>
    </xf>
    <xf numFmtId="0" fontId="53" fillId="27" borderId="54" xfId="226" applyFont="1" applyFill="1" applyBorder="1" applyAlignment="1">
      <alignment horizontal="centerContinuous" vertical="center"/>
    </xf>
    <xf numFmtId="0" fontId="53" fillId="28" borderId="20" xfId="226" applyFont="1" applyFill="1" applyBorder="1" applyAlignment="1">
      <alignment horizontal="centerContinuous" vertical="center"/>
    </xf>
    <xf numFmtId="0" fontId="53" fillId="28" borderId="54" xfId="226" applyFont="1" applyFill="1" applyBorder="1" applyAlignment="1">
      <alignment horizontal="centerContinuous" vertical="center"/>
    </xf>
    <xf numFmtId="0" fontId="53" fillId="28" borderId="54" xfId="226" applyFont="1" applyFill="1" applyBorder="1" applyAlignment="1">
      <alignment horizontal="center" vertical="center"/>
    </xf>
    <xf numFmtId="0" fontId="49" fillId="0" borderId="63" xfId="226" applyFont="1" applyBorder="1" applyAlignment="1">
      <alignment horizontal="center" vertical="center"/>
    </xf>
    <xf numFmtId="4" fontId="49" fillId="37" borderId="63" xfId="226" applyNumberFormat="1" applyFont="1" applyFill="1" applyBorder="1" applyAlignment="1">
      <alignment horizontal="right" vertical="center"/>
    </xf>
    <xf numFmtId="168" fontId="54" fillId="0" borderId="43" xfId="227" applyNumberFormat="1" applyFont="1" applyBorder="1" applyAlignment="1">
      <alignment horizontal="center" vertical="center"/>
    </xf>
    <xf numFmtId="4" fontId="55" fillId="28" borderId="63" xfId="226" applyNumberFormat="1" applyFont="1" applyFill="1" applyBorder="1" applyAlignment="1">
      <alignment horizontal="center" vertical="center"/>
    </xf>
    <xf numFmtId="0" fontId="53" fillId="28" borderId="43" xfId="226" applyFont="1" applyFill="1" applyBorder="1" applyAlignment="1">
      <alignment horizontal="center" vertical="center"/>
    </xf>
    <xf numFmtId="173" fontId="49" fillId="41" borderId="13" xfId="226" applyNumberFormat="1" applyFont="1" applyFill="1" applyBorder="1" applyAlignment="1">
      <alignment horizontal="right" vertical="center"/>
    </xf>
    <xf numFmtId="0" fontId="52" fillId="0" borderId="0" xfId="226" applyFont="1" applyAlignment="1">
      <alignment horizontal="left" vertical="center"/>
    </xf>
    <xf numFmtId="0" fontId="52" fillId="0" borderId="0" xfId="226" applyFont="1" applyAlignment="1">
      <alignment horizontal="right" vertical="center"/>
    </xf>
    <xf numFmtId="9" fontId="52" fillId="0" borderId="0" xfId="227" applyFont="1" applyAlignment="1">
      <alignment horizontal="center" vertical="center"/>
    </xf>
    <xf numFmtId="173" fontId="56" fillId="0" borderId="0" xfId="226" applyNumberFormat="1" applyFont="1" applyAlignment="1">
      <alignment horizontal="center" vertical="center"/>
    </xf>
    <xf numFmtId="0" fontId="49" fillId="0" borderId="22" xfId="226" applyFont="1" applyBorder="1" applyAlignment="1">
      <alignment horizontal="center" vertical="center"/>
    </xf>
    <xf numFmtId="4" fontId="50" fillId="27" borderId="22" xfId="226" applyNumberFormat="1" applyFont="1" applyFill="1" applyBorder="1" applyAlignment="1">
      <alignment horizontal="right" vertical="center"/>
    </xf>
    <xf numFmtId="168" fontId="54" fillId="42" borderId="5" xfId="227" applyNumberFormat="1" applyFont="1" applyFill="1" applyBorder="1" applyAlignment="1">
      <alignment horizontal="center" vertical="center"/>
    </xf>
    <xf numFmtId="4" fontId="57" fillId="28" borderId="22" xfId="226" applyNumberFormat="1" applyFont="1" applyFill="1" applyBorder="1" applyAlignment="1">
      <alignment horizontal="center" vertical="center"/>
    </xf>
    <xf numFmtId="168" fontId="54" fillId="0" borderId="5" xfId="227" applyNumberFormat="1" applyFont="1" applyBorder="1" applyAlignment="1">
      <alignment horizontal="center" vertical="center"/>
    </xf>
    <xf numFmtId="2" fontId="57" fillId="28" borderId="5" xfId="226" applyNumberFormat="1" applyFont="1" applyFill="1" applyBorder="1" applyAlignment="1">
      <alignment horizontal="center" vertical="center"/>
    </xf>
    <xf numFmtId="0" fontId="49" fillId="0" borderId="21" xfId="226" applyFont="1" applyBorder="1" applyAlignment="1">
      <alignment horizontal="center" vertical="center"/>
    </xf>
    <xf numFmtId="4" fontId="50" fillId="27" borderId="21" xfId="226" applyNumberFormat="1" applyFont="1" applyFill="1" applyBorder="1" applyAlignment="1">
      <alignment horizontal="right" vertical="center"/>
    </xf>
    <xf numFmtId="168" fontId="54" fillId="42" borderId="24" xfId="227" applyNumberFormat="1" applyFont="1" applyFill="1" applyBorder="1" applyAlignment="1">
      <alignment horizontal="center" vertical="center"/>
    </xf>
    <xf numFmtId="4" fontId="57" fillId="28" borderId="21" xfId="226" applyNumberFormat="1" applyFont="1" applyFill="1" applyBorder="1" applyAlignment="1">
      <alignment horizontal="center" vertical="center"/>
    </xf>
    <xf numFmtId="168" fontId="54" fillId="0" borderId="24" xfId="227" applyNumberFormat="1" applyFont="1" applyBorder="1" applyAlignment="1">
      <alignment horizontal="center" vertical="center"/>
    </xf>
    <xf numFmtId="2" fontId="57" fillId="28" borderId="24" xfId="226" applyNumberFormat="1" applyFont="1" applyFill="1" applyBorder="1" applyAlignment="1">
      <alignment horizontal="center" vertical="center"/>
    </xf>
    <xf numFmtId="0" fontId="50" fillId="0" borderId="0" xfId="226" applyFont="1" applyAlignment="1">
      <alignment horizontal="center" vertical="center"/>
    </xf>
    <xf numFmtId="168" fontId="52" fillId="0" borderId="0" xfId="226" applyNumberFormat="1" applyFont="1" applyAlignment="1">
      <alignment horizontal="center" vertical="center"/>
    </xf>
    <xf numFmtId="0" fontId="113" fillId="0" borderId="0" xfId="226" applyFont="1" applyAlignment="1">
      <alignment horizontal="right" vertical="center"/>
    </xf>
    <xf numFmtId="4" fontId="50" fillId="42" borderId="0" xfId="226" applyNumberFormat="1" applyFont="1" applyFill="1" applyAlignment="1">
      <alignment horizontal="center" vertical="center"/>
    </xf>
    <xf numFmtId="0" fontId="52" fillId="42" borderId="0" xfId="226" applyFont="1" applyFill="1" applyAlignment="1">
      <alignment horizontal="left" vertical="center"/>
    </xf>
    <xf numFmtId="0" fontId="49" fillId="0" borderId="0" xfId="226" applyFont="1" applyAlignment="1">
      <alignment horizontal="center" vertical="center"/>
    </xf>
    <xf numFmtId="173" fontId="55" fillId="28" borderId="63" xfId="226" applyNumberFormat="1" applyFont="1" applyFill="1" applyBorder="1" applyAlignment="1">
      <alignment horizontal="center" vertical="center"/>
    </xf>
    <xf numFmtId="175" fontId="57" fillId="28" borderId="43" xfId="226" applyNumberFormat="1" applyFont="1" applyFill="1" applyBorder="1" applyAlignment="1">
      <alignment horizontal="center" vertical="center"/>
    </xf>
    <xf numFmtId="0" fontId="56" fillId="0" borderId="0" xfId="226" applyFont="1" applyAlignment="1">
      <alignment horizontal="center" vertical="center"/>
    </xf>
    <xf numFmtId="4" fontId="56" fillId="42" borderId="0" xfId="226" applyNumberFormat="1" applyFont="1" applyFill="1" applyAlignment="1">
      <alignment horizontal="center" vertical="center"/>
    </xf>
    <xf numFmtId="0" fontId="56" fillId="42" borderId="0" xfId="226" applyFont="1" applyFill="1" applyAlignment="1">
      <alignment horizontal="left" vertical="center"/>
    </xf>
    <xf numFmtId="0" fontId="115" fillId="29" borderId="66" xfId="226" applyFont="1" applyFill="1" applyBorder="1" applyAlignment="1">
      <alignment horizontal="center" vertical="center"/>
    </xf>
    <xf numFmtId="0" fontId="115" fillId="29" borderId="67" xfId="226" applyFont="1" applyFill="1" applyBorder="1" applyAlignment="1">
      <alignment horizontal="center" vertical="center"/>
    </xf>
    <xf numFmtId="0" fontId="115" fillId="29" borderId="64" xfId="226" applyFont="1" applyFill="1" applyBorder="1" applyAlignment="1">
      <alignment horizontal="center" vertical="center"/>
    </xf>
    <xf numFmtId="0" fontId="115" fillId="29" borderId="68" xfId="226" applyFont="1" applyFill="1" applyBorder="1" applyAlignment="1">
      <alignment horizontal="center" vertical="center"/>
    </xf>
    <xf numFmtId="0" fontId="116" fillId="29" borderId="69" xfId="226" applyFont="1" applyFill="1" applyBorder="1" applyAlignment="1">
      <alignment horizontal="center" vertical="center"/>
    </xf>
    <xf numFmtId="0" fontId="53" fillId="0" borderId="25" xfId="226" applyFont="1" applyBorder="1" applyAlignment="1">
      <alignment horizontal="center" vertical="center"/>
    </xf>
    <xf numFmtId="4" fontId="57" fillId="0" borderId="53" xfId="226" applyNumberFormat="1" applyFont="1" applyBorder="1" applyAlignment="1">
      <alignment horizontal="center" vertical="center"/>
    </xf>
    <xf numFmtId="4" fontId="57" fillId="0" borderId="25" xfId="226" applyNumberFormat="1" applyFont="1" applyBorder="1" applyAlignment="1">
      <alignment horizontal="center" vertical="center"/>
    </xf>
    <xf numFmtId="4" fontId="117" fillId="0" borderId="0" xfId="226" applyNumberFormat="1" applyFont="1" applyAlignment="1">
      <alignment horizontal="left" vertical="center" indent="1"/>
    </xf>
    <xf numFmtId="0" fontId="53" fillId="0" borderId="26" xfId="226" applyFont="1" applyBorder="1" applyAlignment="1">
      <alignment horizontal="center" vertical="center"/>
    </xf>
    <xf numFmtId="4" fontId="57" fillId="0" borderId="23" xfId="226" applyNumberFormat="1" applyFont="1" applyBorder="1" applyAlignment="1">
      <alignment horizontal="center" vertical="center"/>
    </xf>
    <xf numFmtId="4" fontId="57" fillId="0" borderId="26" xfId="226" applyNumberFormat="1" applyFont="1" applyBorder="1" applyAlignment="1">
      <alignment horizontal="center" vertical="center"/>
    </xf>
    <xf numFmtId="0" fontId="117" fillId="0" borderId="0" xfId="226" applyFont="1" applyAlignment="1">
      <alignment horizontal="left" vertical="center" indent="1"/>
    </xf>
    <xf numFmtId="2" fontId="52" fillId="0" borderId="0" xfId="226" applyNumberFormat="1" applyFont="1" applyAlignment="1">
      <alignment horizontal="center" vertical="center"/>
    </xf>
    <xf numFmtId="0" fontId="52" fillId="0" borderId="0" xfId="228" applyFont="1" applyAlignment="1">
      <alignment horizontal="center" vertical="center"/>
    </xf>
    <xf numFmtId="0" fontId="58" fillId="0" borderId="0" xfId="226" applyFont="1" applyAlignment="1">
      <alignment horizontal="left" vertical="center"/>
    </xf>
    <xf numFmtId="0" fontId="58" fillId="0" borderId="0" xfId="226" applyFont="1" applyAlignment="1">
      <alignment horizontal="center" vertical="center"/>
    </xf>
    <xf numFmtId="187" fontId="52" fillId="0" borderId="0" xfId="229" applyFont="1" applyAlignment="1">
      <alignment horizontal="center" vertical="center"/>
    </xf>
    <xf numFmtId="0" fontId="53" fillId="0" borderId="0" xfId="226" applyFont="1" applyAlignment="1">
      <alignment horizontal="center" vertical="center"/>
    </xf>
    <xf numFmtId="17" fontId="118" fillId="39" borderId="13" xfId="226" applyNumberFormat="1" applyFont="1" applyFill="1" applyBorder="1" applyAlignment="1">
      <alignment horizontal="center"/>
    </xf>
    <xf numFmtId="0" fontId="119" fillId="0" borderId="0" xfId="226" applyFont="1" applyAlignment="1">
      <alignment horizontal="left" vertical="center"/>
    </xf>
    <xf numFmtId="0" fontId="119" fillId="0" borderId="0" xfId="226" applyFont="1" applyAlignment="1">
      <alignment horizontal="center" vertical="center"/>
    </xf>
    <xf numFmtId="0" fontId="58" fillId="0" borderId="63" xfId="226" applyFont="1" applyBorder="1" applyAlignment="1">
      <alignment horizontal="center" vertical="center" wrapText="1"/>
    </xf>
    <xf numFmtId="0" fontId="58" fillId="0" borderId="64" xfId="226" applyFont="1" applyBorder="1" applyAlignment="1">
      <alignment horizontal="center" vertical="center" wrapText="1"/>
    </xf>
    <xf numFmtId="0" fontId="58" fillId="0" borderId="13" xfId="226" applyFont="1" applyBorder="1" applyAlignment="1">
      <alignment horizontal="center" vertical="center" wrapText="1"/>
    </xf>
    <xf numFmtId="0" fontId="58" fillId="0" borderId="43" xfId="226" applyFont="1" applyBorder="1" applyAlignment="1">
      <alignment horizontal="center" vertical="center" wrapText="1"/>
    </xf>
    <xf numFmtId="0" fontId="120" fillId="0" borderId="0" xfId="226" applyFont="1" applyAlignment="1">
      <alignment horizontal="left" vertical="center" indent="1"/>
    </xf>
    <xf numFmtId="0" fontId="58" fillId="0" borderId="63" xfId="226" applyFont="1" applyBorder="1" applyAlignment="1">
      <alignment horizontal="center" vertical="center"/>
    </xf>
    <xf numFmtId="0" fontId="58" fillId="0" borderId="64" xfId="226" applyFont="1" applyBorder="1" applyAlignment="1">
      <alignment horizontal="center" vertical="center"/>
    </xf>
    <xf numFmtId="0" fontId="58" fillId="0" borderId="13" xfId="226" applyFont="1" applyBorder="1" applyAlignment="1">
      <alignment horizontal="center" vertical="center"/>
    </xf>
    <xf numFmtId="0" fontId="58" fillId="0" borderId="43" xfId="226" applyFont="1" applyBorder="1" applyAlignment="1">
      <alignment horizontal="center" vertical="center"/>
    </xf>
    <xf numFmtId="0" fontId="119" fillId="0" borderId="63" xfId="226" applyFont="1" applyBorder="1" applyAlignment="1">
      <alignment horizontal="center" vertical="center"/>
    </xf>
    <xf numFmtId="0" fontId="119" fillId="0" borderId="64" xfId="226" applyFont="1" applyBorder="1" applyAlignment="1">
      <alignment horizontal="center" vertical="center"/>
    </xf>
    <xf numFmtId="0" fontId="119" fillId="0" borderId="13" xfId="226" applyFont="1" applyBorder="1" applyAlignment="1">
      <alignment horizontal="center" vertical="center"/>
    </xf>
    <xf numFmtId="0" fontId="119" fillId="0" borderId="43" xfId="226" applyFont="1" applyBorder="1" applyAlignment="1">
      <alignment horizontal="center" vertical="center"/>
    </xf>
    <xf numFmtId="0" fontId="61" fillId="28" borderId="22" xfId="226" applyFont="1" applyFill="1" applyBorder="1" applyAlignment="1">
      <alignment horizontal="right" vertical="center"/>
    </xf>
    <xf numFmtId="0" fontId="61" fillId="28" borderId="0" xfId="226" applyFont="1" applyFill="1" applyAlignment="1">
      <alignment horizontal="center" vertical="center"/>
    </xf>
    <xf numFmtId="0" fontId="61" fillId="28" borderId="11" xfId="226" applyFont="1" applyFill="1" applyBorder="1" applyAlignment="1">
      <alignment horizontal="center" vertical="center"/>
    </xf>
    <xf numFmtId="2" fontId="61" fillId="28" borderId="5" xfId="226" applyNumberFormat="1" applyFont="1" applyFill="1" applyBorder="1" applyAlignment="1">
      <alignment horizontal="center" vertical="center"/>
    </xf>
    <xf numFmtId="1" fontId="61" fillId="28" borderId="5" xfId="226" applyNumberFormat="1" applyFont="1" applyFill="1" applyBorder="1" applyAlignment="1">
      <alignment horizontal="center" vertical="center"/>
    </xf>
    <xf numFmtId="0" fontId="61" fillId="28" borderId="22" xfId="226" applyFont="1" applyFill="1" applyBorder="1" applyAlignment="1">
      <alignment horizontal="center" vertical="center"/>
    </xf>
    <xf numFmtId="0" fontId="121" fillId="43" borderId="22" xfId="226" applyFont="1" applyFill="1" applyBorder="1" applyAlignment="1">
      <alignment horizontal="left" vertical="center"/>
    </xf>
    <xf numFmtId="0" fontId="121" fillId="43" borderId="0" xfId="226" applyFont="1" applyFill="1" applyAlignment="1">
      <alignment horizontal="center" vertical="center"/>
    </xf>
    <xf numFmtId="0" fontId="121" fillId="43" borderId="11" xfId="226" applyFont="1" applyFill="1" applyBorder="1" applyAlignment="1">
      <alignment horizontal="center" vertical="center"/>
    </xf>
    <xf numFmtId="2" fontId="122" fillId="43" borderId="5" xfId="226" applyNumberFormat="1" applyFont="1" applyFill="1" applyBorder="1" applyAlignment="1">
      <alignment horizontal="center" vertical="center"/>
    </xf>
    <xf numFmtId="0" fontId="61" fillId="0" borderId="22" xfId="226" applyFont="1" applyBorder="1" applyAlignment="1">
      <alignment horizontal="left" vertical="center" indent="2"/>
    </xf>
    <xf numFmtId="0" fontId="52" fillId="0" borderId="11" xfId="226" applyFont="1" applyBorder="1" applyAlignment="1">
      <alignment horizontal="center" vertical="center"/>
    </xf>
    <xf numFmtId="2" fontId="52" fillId="44" borderId="5" xfId="226" applyNumberFormat="1" applyFont="1" applyFill="1" applyBorder="1" applyAlignment="1">
      <alignment horizontal="center" vertical="center"/>
    </xf>
    <xf numFmtId="2" fontId="52" fillId="0" borderId="5" xfId="226" applyNumberFormat="1" applyFont="1" applyBorder="1" applyAlignment="1">
      <alignment horizontal="center" vertical="center"/>
    </xf>
    <xf numFmtId="1" fontId="52" fillId="0" borderId="5" xfId="226" applyNumberFormat="1" applyFont="1" applyBorder="1" applyAlignment="1">
      <alignment horizontal="center" vertical="center"/>
    </xf>
    <xf numFmtId="0" fontId="117" fillId="0" borderId="0" xfId="228" applyFont="1" applyAlignment="1">
      <alignment horizontal="left" vertical="center" indent="1"/>
    </xf>
    <xf numFmtId="0" fontId="62" fillId="0" borderId="22" xfId="226" applyFont="1" applyBorder="1" applyAlignment="1">
      <alignment horizontal="left" vertical="center" indent="1"/>
    </xf>
    <xf numFmtId="0" fontId="122" fillId="0" borderId="22" xfId="226" applyFont="1" applyBorder="1" applyAlignment="1">
      <alignment horizontal="left" vertical="center" indent="1"/>
    </xf>
    <xf numFmtId="0" fontId="123" fillId="0" borderId="0" xfId="226" applyFont="1" applyAlignment="1">
      <alignment horizontal="center" vertical="center"/>
    </xf>
    <xf numFmtId="0" fontId="123" fillId="0" borderId="11" xfId="226" applyFont="1" applyBorder="1" applyAlignment="1">
      <alignment horizontal="center" vertical="center"/>
    </xf>
    <xf numFmtId="2" fontId="123" fillId="0" borderId="5" xfId="226" applyNumberFormat="1" applyFont="1" applyBorder="1" applyAlignment="1">
      <alignment horizontal="center" vertical="center"/>
    </xf>
    <xf numFmtId="0" fontId="52" fillId="0" borderId="22" xfId="226" applyFont="1" applyBorder="1" applyAlignment="1">
      <alignment horizontal="left" vertical="center" indent="2"/>
    </xf>
    <xf numFmtId="0" fontId="123" fillId="0" borderId="22" xfId="226" applyFont="1" applyBorder="1" applyAlignment="1">
      <alignment horizontal="left" vertical="center" indent="2"/>
    </xf>
    <xf numFmtId="0" fontId="52" fillId="0" borderId="21" xfId="226" applyFont="1" applyBorder="1" applyAlignment="1">
      <alignment horizontal="left" vertical="center" indent="3"/>
    </xf>
    <xf numFmtId="0" fontId="52" fillId="0" borderId="23" xfId="226" applyFont="1" applyBorder="1" applyAlignment="1">
      <alignment horizontal="center" vertical="center"/>
    </xf>
    <xf numFmtId="0" fontId="52" fillId="0" borderId="26" xfId="226" applyFont="1" applyBorder="1" applyAlignment="1">
      <alignment horizontal="center" vertical="center"/>
    </xf>
    <xf numFmtId="2" fontId="52" fillId="0" borderId="24" xfId="226" applyNumberFormat="1" applyFont="1" applyBorder="1" applyAlignment="1">
      <alignment horizontal="center" vertical="center"/>
    </xf>
    <xf numFmtId="0" fontId="123" fillId="0" borderId="21" xfId="226" applyFont="1" applyBorder="1" applyAlignment="1">
      <alignment horizontal="left" vertical="center" indent="3"/>
    </xf>
    <xf numFmtId="0" fontId="123" fillId="0" borderId="23" xfId="226" applyFont="1" applyBorder="1" applyAlignment="1">
      <alignment horizontal="center" vertical="center"/>
    </xf>
    <xf numFmtId="0" fontId="123" fillId="0" borderId="26" xfId="226" applyFont="1" applyBorder="1" applyAlignment="1">
      <alignment horizontal="center" vertical="center"/>
    </xf>
    <xf numFmtId="2" fontId="123" fillId="0" borderId="24" xfId="226" applyNumberFormat="1" applyFont="1" applyBorder="1" applyAlignment="1">
      <alignment horizontal="center" vertical="center"/>
    </xf>
    <xf numFmtId="0" fontId="61" fillId="28" borderId="20" xfId="226" applyFont="1" applyFill="1" applyBorder="1" applyAlignment="1">
      <alignment horizontal="left" vertical="center"/>
    </xf>
    <xf numFmtId="0" fontId="61" fillId="28" borderId="53" xfId="226" applyFont="1" applyFill="1" applyBorder="1" applyAlignment="1">
      <alignment horizontal="center" vertical="center"/>
    </xf>
    <xf numFmtId="0" fontId="61" fillId="28" borderId="25" xfId="226" applyFont="1" applyFill="1" applyBorder="1" applyAlignment="1">
      <alignment horizontal="center" vertical="center"/>
    </xf>
    <xf numFmtId="2" fontId="61" fillId="28" borderId="54" xfId="226" applyNumberFormat="1" applyFont="1" applyFill="1" applyBorder="1" applyAlignment="1">
      <alignment horizontal="center" vertical="center"/>
    </xf>
    <xf numFmtId="0" fontId="121" fillId="43" borderId="20" xfId="226" applyFont="1" applyFill="1" applyBorder="1" applyAlignment="1">
      <alignment horizontal="left" vertical="center"/>
    </xf>
    <xf numFmtId="0" fontId="121" fillId="43" borderId="53" xfId="226" applyFont="1" applyFill="1" applyBorder="1" applyAlignment="1">
      <alignment horizontal="center" vertical="center"/>
    </xf>
    <xf numFmtId="0" fontId="121" fillId="43" borderId="25" xfId="226" applyFont="1" applyFill="1" applyBorder="1" applyAlignment="1">
      <alignment horizontal="center" vertical="center"/>
    </xf>
    <xf numFmtId="2" fontId="122" fillId="43" borderId="54" xfId="226" applyNumberFormat="1" applyFont="1" applyFill="1" applyBorder="1" applyAlignment="1">
      <alignment horizontal="center" vertical="center"/>
    </xf>
    <xf numFmtId="1" fontId="52" fillId="30" borderId="5" xfId="226" applyNumberFormat="1" applyFont="1" applyFill="1" applyBorder="1" applyAlignment="1">
      <alignment horizontal="center" vertical="center"/>
    </xf>
    <xf numFmtId="2" fontId="61" fillId="28" borderId="25" xfId="226" applyNumberFormat="1" applyFont="1" applyFill="1" applyBorder="1" applyAlignment="1">
      <alignment horizontal="center" vertical="center"/>
    </xf>
    <xf numFmtId="0" fontId="61" fillId="0" borderId="22" xfId="226" applyFont="1" applyBorder="1" applyAlignment="1">
      <alignment horizontal="left" vertical="center" wrapText="1" indent="2"/>
    </xf>
    <xf numFmtId="0" fontId="52" fillId="0" borderId="22" xfId="226" applyFont="1" applyBorder="1" applyAlignment="1">
      <alignment horizontal="left" vertical="center" indent="3"/>
    </xf>
    <xf numFmtId="2" fontId="52" fillId="0" borderId="5" xfId="228" applyNumberFormat="1" applyFont="1" applyBorder="1" applyAlignment="1">
      <alignment horizontal="center" vertical="center"/>
    </xf>
    <xf numFmtId="1" fontId="52" fillId="0" borderId="5" xfId="228" applyNumberFormat="1" applyFont="1" applyBorder="1" applyAlignment="1">
      <alignment horizontal="center" vertical="center"/>
    </xf>
    <xf numFmtId="0" fontId="61" fillId="28" borderId="20" xfId="226" applyFont="1" applyFill="1" applyBorder="1" applyAlignment="1">
      <alignment horizontal="center" vertical="center"/>
    </xf>
    <xf numFmtId="0" fontId="123" fillId="0" borderId="22" xfId="226" applyFont="1" applyBorder="1" applyAlignment="1">
      <alignment horizontal="left" vertical="center" indent="3"/>
    </xf>
    <xf numFmtId="0" fontId="61" fillId="28" borderId="22" xfId="226" applyFont="1" applyFill="1" applyBorder="1" applyAlignment="1">
      <alignment horizontal="left" vertical="center"/>
    </xf>
    <xf numFmtId="2" fontId="52" fillId="0" borderId="11" xfId="226" applyNumberFormat="1" applyFont="1" applyBorder="1" applyAlignment="1">
      <alignment horizontal="center" vertical="center"/>
    </xf>
    <xf numFmtId="0" fontId="50" fillId="0" borderId="22" xfId="226" applyFont="1" applyBorder="1" applyAlignment="1">
      <alignment horizontal="left" vertical="center" indent="2"/>
    </xf>
    <xf numFmtId="0" fontId="52" fillId="0" borderId="22" xfId="226" applyFont="1" applyBorder="1" applyAlignment="1">
      <alignment horizontal="center" vertical="center"/>
    </xf>
    <xf numFmtId="0" fontId="52" fillId="0" borderId="5" xfId="226" applyFont="1" applyBorder="1" applyAlignment="1">
      <alignment horizontal="center" vertical="center"/>
    </xf>
    <xf numFmtId="0" fontId="61" fillId="28" borderId="20" xfId="226" applyFont="1" applyFill="1" applyBorder="1" applyAlignment="1">
      <alignment horizontal="right" vertical="center"/>
    </xf>
    <xf numFmtId="1" fontId="61" fillId="28" borderId="54" xfId="226" applyNumberFormat="1" applyFont="1" applyFill="1" applyBorder="1" applyAlignment="1">
      <alignment horizontal="center" vertical="center"/>
    </xf>
    <xf numFmtId="0" fontId="124" fillId="0" borderId="22" xfId="226" applyFont="1" applyBorder="1" applyAlignment="1">
      <alignment horizontal="left" vertical="center" indent="1"/>
    </xf>
    <xf numFmtId="2" fontId="52" fillId="0" borderId="26" xfId="226" applyNumberFormat="1" applyFont="1" applyBorder="1" applyAlignment="1">
      <alignment horizontal="center" vertical="center"/>
    </xf>
    <xf numFmtId="0" fontId="52" fillId="0" borderId="21" xfId="226" applyFont="1" applyBorder="1" applyAlignment="1">
      <alignment horizontal="center" vertical="center"/>
    </xf>
    <xf numFmtId="0" fontId="52" fillId="0" borderId="24" xfId="226" applyFont="1" applyBorder="1" applyAlignment="1">
      <alignment horizontal="center" vertical="center"/>
    </xf>
    <xf numFmtId="1" fontId="52" fillId="0" borderId="24" xfId="226" applyNumberFormat="1" applyFont="1" applyBorder="1" applyAlignment="1">
      <alignment horizontal="center" vertical="center"/>
    </xf>
    <xf numFmtId="2" fontId="117" fillId="0" borderId="0" xfId="226" applyNumberFormat="1" applyFont="1" applyAlignment="1">
      <alignment horizontal="left" vertical="center" indent="1"/>
    </xf>
    <xf numFmtId="0" fontId="61" fillId="26" borderId="22" xfId="226" applyFont="1" applyFill="1" applyBorder="1" applyAlignment="1">
      <alignment horizontal="left" vertical="center" indent="2"/>
    </xf>
    <xf numFmtId="0" fontId="52" fillId="0" borderId="11" xfId="226" quotePrefix="1" applyFont="1" applyBorder="1" applyAlignment="1">
      <alignment horizontal="center" vertical="center"/>
    </xf>
    <xf numFmtId="0" fontId="52" fillId="0" borderId="22" xfId="226" applyFont="1" applyBorder="1" applyAlignment="1">
      <alignment horizontal="left" vertical="center" indent="1"/>
    </xf>
    <xf numFmtId="0" fontId="50" fillId="0" borderId="11" xfId="226" quotePrefix="1" applyFont="1" applyBorder="1" applyAlignment="1">
      <alignment horizontal="center" vertical="center"/>
    </xf>
    <xf numFmtId="2" fontId="50" fillId="44" borderId="5" xfId="226" applyNumberFormat="1" applyFont="1" applyFill="1" applyBorder="1" applyAlignment="1">
      <alignment horizontal="center" vertical="center"/>
    </xf>
    <xf numFmtId="1" fontId="50" fillId="0" borderId="5" xfId="226" applyNumberFormat="1" applyFont="1" applyBorder="1" applyAlignment="1">
      <alignment horizontal="center" vertical="center"/>
    </xf>
    <xf numFmtId="0" fontId="123" fillId="0" borderId="22" xfId="226" applyFont="1" applyBorder="1" applyAlignment="1">
      <alignment horizontal="left" vertical="center" indent="1"/>
    </xf>
    <xf numFmtId="2" fontId="52" fillId="44" borderId="11" xfId="226" applyNumberFormat="1" applyFont="1" applyFill="1" applyBorder="1" applyAlignment="1">
      <alignment horizontal="center" vertical="center"/>
    </xf>
    <xf numFmtId="0" fontId="61" fillId="0" borderId="22" xfId="228" applyFont="1" applyBorder="1" applyAlignment="1">
      <alignment horizontal="left" vertical="center" indent="2"/>
    </xf>
    <xf numFmtId="0" fontId="50" fillId="0" borderId="11" xfId="228" quotePrefix="1" applyFont="1" applyBorder="1" applyAlignment="1">
      <alignment horizontal="center" vertical="center"/>
    </xf>
    <xf numFmtId="0" fontId="52" fillId="0" borderId="11" xfId="228" applyFont="1" applyBorder="1" applyAlignment="1">
      <alignment horizontal="center" vertical="center"/>
    </xf>
    <xf numFmtId="164" fontId="52" fillId="0" borderId="0" xfId="226" applyNumberFormat="1" applyFont="1" applyAlignment="1">
      <alignment horizontal="center" vertical="center"/>
    </xf>
    <xf numFmtId="164" fontId="125" fillId="0" borderId="0" xfId="226" applyNumberFormat="1" applyFont="1"/>
    <xf numFmtId="0" fontId="52" fillId="0" borderId="11" xfId="228" quotePrefix="1" applyFont="1" applyBorder="1" applyAlignment="1">
      <alignment horizontal="center" vertical="center"/>
    </xf>
    <xf numFmtId="1" fontId="126" fillId="0" borderId="5" xfId="226" applyNumberFormat="1" applyFont="1" applyBorder="1" applyAlignment="1">
      <alignment horizontal="center" vertical="center"/>
    </xf>
    <xf numFmtId="2" fontId="52" fillId="45" borderId="5" xfId="226" applyNumberFormat="1" applyFont="1" applyFill="1" applyBorder="1" applyAlignment="1">
      <alignment horizontal="center" vertical="center"/>
    </xf>
    <xf numFmtId="0" fontId="52" fillId="46" borderId="0" xfId="226" applyFont="1" applyFill="1" applyAlignment="1">
      <alignment horizontal="center" vertical="center"/>
    </xf>
    <xf numFmtId="0" fontId="52" fillId="46" borderId="11" xfId="226" quotePrefix="1" applyFont="1" applyFill="1" applyBorder="1" applyAlignment="1">
      <alignment horizontal="center" vertical="center"/>
    </xf>
    <xf numFmtId="2" fontId="126" fillId="30" borderId="5" xfId="226" applyNumberFormat="1" applyFont="1" applyFill="1" applyBorder="1" applyAlignment="1">
      <alignment horizontal="center" vertical="center"/>
    </xf>
    <xf numFmtId="2" fontId="126" fillId="0" borderId="5" xfId="226" applyNumberFormat="1" applyFont="1" applyBorder="1" applyAlignment="1">
      <alignment horizontal="center" vertical="center"/>
    </xf>
    <xf numFmtId="0" fontId="52" fillId="25" borderId="11" xfId="226" applyFont="1" applyFill="1" applyBorder="1" applyAlignment="1">
      <alignment horizontal="center" vertical="center"/>
    </xf>
    <xf numFmtId="2" fontId="61" fillId="26" borderId="5" xfId="226" applyNumberFormat="1" applyFont="1" applyFill="1" applyBorder="1" applyAlignment="1">
      <alignment horizontal="center" vertical="center"/>
    </xf>
    <xf numFmtId="0" fontId="52" fillId="0" borderId="5" xfId="228" applyFont="1" applyBorder="1" applyAlignment="1">
      <alignment horizontal="center" vertical="center"/>
    </xf>
    <xf numFmtId="2" fontId="52" fillId="44" borderId="0" xfId="226" applyNumberFormat="1" applyFont="1" applyFill="1" applyAlignment="1">
      <alignment horizontal="center" vertical="center"/>
    </xf>
    <xf numFmtId="0" fontId="52" fillId="0" borderId="21" xfId="226" applyFont="1" applyBorder="1" applyAlignment="1">
      <alignment horizontal="left" vertical="center" indent="2"/>
    </xf>
    <xf numFmtId="2" fontId="127" fillId="0" borderId="5" xfId="226" applyNumberFormat="1" applyFont="1" applyBorder="1" applyAlignment="1">
      <alignment horizontal="center" vertical="center"/>
    </xf>
    <xf numFmtId="0" fontId="52" fillId="0" borderId="22" xfId="228" applyFont="1" applyBorder="1" applyAlignment="1">
      <alignment horizontal="left" vertical="center" indent="2"/>
    </xf>
    <xf numFmtId="1" fontId="128" fillId="0" borderId="5" xfId="226" applyNumberFormat="1" applyFont="1" applyBorder="1" applyAlignment="1">
      <alignment horizontal="center" vertical="center"/>
    </xf>
    <xf numFmtId="0" fontId="52" fillId="28" borderId="53" xfId="226" applyFont="1" applyFill="1" applyBorder="1" applyAlignment="1">
      <alignment horizontal="center" vertical="center"/>
    </xf>
    <xf numFmtId="0" fontId="52" fillId="28" borderId="11" xfId="226" applyFont="1" applyFill="1" applyBorder="1" applyAlignment="1">
      <alignment horizontal="center" vertical="center"/>
    </xf>
    <xf numFmtId="2" fontId="52" fillId="30" borderId="5" xfId="226" applyNumberFormat="1" applyFont="1" applyFill="1" applyBorder="1" applyAlignment="1">
      <alignment horizontal="center" vertical="center"/>
    </xf>
    <xf numFmtId="2" fontId="126" fillId="0" borderId="5" xfId="228" applyNumberFormat="1" applyFont="1" applyBorder="1" applyAlignment="1">
      <alignment horizontal="center" vertical="center"/>
    </xf>
    <xf numFmtId="0" fontId="52" fillId="28" borderId="25" xfId="226" applyFont="1" applyFill="1" applyBorder="1" applyAlignment="1">
      <alignment horizontal="center" vertical="center"/>
    </xf>
    <xf numFmtId="0" fontId="129" fillId="0" borderId="0" xfId="226" applyFont="1"/>
    <xf numFmtId="0" fontId="14" fillId="0" borderId="22" xfId="0" applyFont="1" applyBorder="1" applyAlignment="1">
      <alignment horizontal="center"/>
    </xf>
    <xf numFmtId="0" fontId="14" fillId="0" borderId="11" xfId="0" applyFont="1" applyBorder="1" applyAlignment="1">
      <alignment horizontal="center"/>
    </xf>
    <xf numFmtId="166" fontId="14" fillId="0" borderId="13" xfId="0" applyNumberFormat="1" applyFont="1" applyBorder="1"/>
    <xf numFmtId="166" fontId="14" fillId="0" borderId="0" xfId="0" applyNumberFormat="1" applyFont="1"/>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63" xfId="0" applyFont="1" applyBorder="1" applyAlignment="1">
      <alignment horizontal="center" vertical="center"/>
    </xf>
    <xf numFmtId="0" fontId="14" fillId="27" borderId="26" xfId="0" applyFont="1" applyFill="1" applyBorder="1" applyAlignment="1">
      <alignment horizontal="center" vertical="center"/>
    </xf>
    <xf numFmtId="0" fontId="14" fillId="0" borderId="26" xfId="0" applyFont="1" applyBorder="1" applyAlignment="1">
      <alignment horizontal="center"/>
    </xf>
    <xf numFmtId="4" fontId="57" fillId="0" borderId="23" xfId="0" applyNumberFormat="1" applyFont="1" applyBorder="1" applyAlignment="1">
      <alignment horizontal="center" vertical="center"/>
    </xf>
    <xf numFmtId="0" fontId="2" fillId="0" borderId="0" xfId="230"/>
    <xf numFmtId="0" fontId="109" fillId="0" borderId="0" xfId="230" applyFont="1"/>
    <xf numFmtId="0" fontId="107" fillId="27" borderId="0" xfId="230" applyFont="1" applyFill="1"/>
    <xf numFmtId="0" fontId="109" fillId="27" borderId="0" xfId="230" applyFont="1" applyFill="1"/>
    <xf numFmtId="0" fontId="107" fillId="33" borderId="107" xfId="219" applyFont="1" applyFill="1" applyBorder="1" applyAlignment="1">
      <alignment horizontal="center"/>
    </xf>
    <xf numFmtId="0" fontId="79" fillId="24" borderId="31" xfId="219" applyFont="1" applyFill="1" applyBorder="1" applyAlignment="1">
      <alignment horizontal="left" indent="1"/>
    </xf>
    <xf numFmtId="0" fontId="79" fillId="24" borderId="31" xfId="219" applyFont="1" applyFill="1" applyBorder="1" applyAlignment="1">
      <alignment horizontal="center"/>
    </xf>
    <xf numFmtId="0" fontId="111" fillId="0" borderId="0" xfId="219" applyFont="1"/>
    <xf numFmtId="0" fontId="79" fillId="24" borderId="26" xfId="219" applyFont="1" applyFill="1" applyBorder="1" applyAlignment="1">
      <alignment horizontal="left" indent="1"/>
    </xf>
    <xf numFmtId="0" fontId="79" fillId="24" borderId="26" xfId="219" applyFont="1" applyFill="1" applyBorder="1" applyAlignment="1">
      <alignment horizontal="center"/>
    </xf>
    <xf numFmtId="0" fontId="107" fillId="33" borderId="107" xfId="219" applyFont="1" applyFill="1" applyBorder="1" applyAlignment="1">
      <alignment horizontal="left" indent="1"/>
    </xf>
    <xf numFmtId="0" fontId="79" fillId="24" borderId="112" xfId="219" applyFont="1" applyFill="1" applyBorder="1" applyAlignment="1">
      <alignment horizontal="center"/>
    </xf>
    <xf numFmtId="10" fontId="99" fillId="25" borderId="13" xfId="219" applyNumberFormat="1" applyFont="1" applyFill="1" applyBorder="1" applyAlignment="1">
      <alignment horizontal="center"/>
    </xf>
    <xf numFmtId="0" fontId="79" fillId="24" borderId="0" xfId="219" applyFont="1" applyFill="1"/>
    <xf numFmtId="166" fontId="79" fillId="0" borderId="0" xfId="219" applyNumberFormat="1" applyFont="1"/>
    <xf numFmtId="0" fontId="79" fillId="24" borderId="111" xfId="219" applyFont="1" applyFill="1" applyBorder="1"/>
    <xf numFmtId="0" fontId="79" fillId="24" borderId="22" xfId="219" applyFont="1" applyFill="1" applyBorder="1"/>
    <xf numFmtId="0" fontId="79" fillId="24" borderId="11" xfId="219" applyFont="1" applyFill="1" applyBorder="1" applyAlignment="1">
      <alignment horizontal="center"/>
    </xf>
    <xf numFmtId="0" fontId="79" fillId="0" borderId="22" xfId="219" applyFont="1" applyBorder="1"/>
    <xf numFmtId="0" fontId="79" fillId="0" borderId="11" xfId="219" applyFont="1" applyBorder="1" applyAlignment="1">
      <alignment horizontal="center"/>
    </xf>
    <xf numFmtId="0" fontId="79" fillId="0" borderId="21" xfId="219" applyFont="1" applyBorder="1"/>
    <xf numFmtId="0" fontId="79" fillId="0" borderId="26" xfId="219" applyFont="1" applyBorder="1" applyAlignment="1">
      <alignment horizontal="center"/>
    </xf>
    <xf numFmtId="0" fontId="79" fillId="24" borderId="0" xfId="219" applyFont="1" applyFill="1" applyAlignment="1">
      <alignment horizontal="center"/>
    </xf>
    <xf numFmtId="0" fontId="102" fillId="0" borderId="0" xfId="219" applyFont="1" applyAlignment="1">
      <alignment horizontal="center"/>
    </xf>
    <xf numFmtId="9" fontId="79" fillId="0" borderId="0" xfId="231" applyFont="1"/>
    <xf numFmtId="0" fontId="102" fillId="0" borderId="0" xfId="219" applyFont="1"/>
    <xf numFmtId="0" fontId="79" fillId="24" borderId="31" xfId="219" applyFont="1" applyFill="1" applyBorder="1"/>
    <xf numFmtId="0" fontId="99" fillId="0" borderId="0" xfId="219" applyFont="1" applyAlignment="1">
      <alignment horizontal="center"/>
    </xf>
    <xf numFmtId="0" fontId="79" fillId="24" borderId="11" xfId="219" applyFont="1" applyFill="1" applyBorder="1"/>
    <xf numFmtId="0" fontId="79" fillId="0" borderId="11" xfId="219" applyFont="1" applyBorder="1"/>
    <xf numFmtId="0" fontId="103" fillId="0" borderId="0" xfId="219" applyFont="1"/>
    <xf numFmtId="0" fontId="102" fillId="40" borderId="107" xfId="219" applyFont="1" applyFill="1" applyBorder="1"/>
    <xf numFmtId="0" fontId="79" fillId="40" borderId="107" xfId="219" applyFont="1" applyFill="1" applyBorder="1"/>
    <xf numFmtId="169" fontId="102" fillId="40" borderId="107" xfId="219" applyNumberFormat="1" applyFont="1" applyFill="1" applyBorder="1"/>
    <xf numFmtId="0" fontId="79" fillId="25" borderId="0" xfId="219" applyFont="1" applyFill="1"/>
    <xf numFmtId="0" fontId="102" fillId="25" borderId="0" xfId="219" applyFont="1" applyFill="1"/>
    <xf numFmtId="169" fontId="79" fillId="25" borderId="0" xfId="219" applyNumberFormat="1" applyFont="1" applyFill="1"/>
    <xf numFmtId="41" fontId="103" fillId="0" borderId="0" xfId="219" applyNumberFormat="1" applyFont="1"/>
    <xf numFmtId="186" fontId="79" fillId="0" borderId="0" xfId="219" applyNumberFormat="1" applyFont="1"/>
    <xf numFmtId="0" fontId="79" fillId="24" borderId="40" xfId="219" applyFont="1" applyFill="1" applyBorder="1"/>
    <xf numFmtId="0" fontId="79" fillId="24" borderId="40" xfId="219" applyFont="1" applyFill="1" applyBorder="1" applyAlignment="1">
      <alignment horizontal="center"/>
    </xf>
    <xf numFmtId="41" fontId="79" fillId="0" borderId="0" xfId="219" applyNumberFormat="1" applyFont="1"/>
    <xf numFmtId="0" fontId="102" fillId="40" borderId="107" xfId="219" applyFont="1" applyFill="1" applyBorder="1" applyAlignment="1">
      <alignment horizontal="center"/>
    </xf>
    <xf numFmtId="0" fontId="107" fillId="33" borderId="107" xfId="219" applyFont="1" applyFill="1" applyBorder="1" applyAlignment="1">
      <alignment horizontal="center" vertical="center"/>
    </xf>
    <xf numFmtId="164" fontId="79" fillId="0" borderId="0" xfId="219" applyNumberFormat="1" applyFont="1" applyAlignment="1">
      <alignment horizontal="center"/>
    </xf>
    <xf numFmtId="0" fontId="79" fillId="24" borderId="31" xfId="219" applyFont="1" applyFill="1" applyBorder="1" applyAlignment="1">
      <alignment horizontal="left" vertical="center" indent="1"/>
    </xf>
    <xf numFmtId="0" fontId="79" fillId="25" borderId="31" xfId="219" applyFont="1" applyFill="1" applyBorder="1" applyAlignment="1">
      <alignment horizontal="center" vertical="center"/>
    </xf>
    <xf numFmtId="169" fontId="79" fillId="25" borderId="31" xfId="219" applyNumberFormat="1" applyFont="1" applyFill="1" applyBorder="1"/>
    <xf numFmtId="164" fontId="79" fillId="0" borderId="0" xfId="219" applyNumberFormat="1" applyFont="1"/>
    <xf numFmtId="0" fontId="79" fillId="24" borderId="11" xfId="219" applyFont="1" applyFill="1" applyBorder="1" applyAlignment="1">
      <alignment horizontal="left" vertical="center" indent="1"/>
    </xf>
    <xf numFmtId="0" fontId="79" fillId="25" borderId="11" xfId="219" applyFont="1" applyFill="1" applyBorder="1" applyAlignment="1">
      <alignment horizontal="center" vertical="center"/>
    </xf>
    <xf numFmtId="169" fontId="79" fillId="25" borderId="11" xfId="219" applyNumberFormat="1" applyFont="1" applyFill="1" applyBorder="1"/>
    <xf numFmtId="0" fontId="79" fillId="24" borderId="26" xfId="219" applyFont="1" applyFill="1" applyBorder="1" applyAlignment="1">
      <alignment horizontal="left" vertical="center" indent="1"/>
    </xf>
    <xf numFmtId="0" fontId="79" fillId="25" borderId="26" xfId="219" applyFont="1" applyFill="1" applyBorder="1" applyAlignment="1">
      <alignment horizontal="center" vertical="center"/>
    </xf>
    <xf numFmtId="169" fontId="79" fillId="25" borderId="26" xfId="219" applyNumberFormat="1" applyFont="1" applyFill="1" applyBorder="1"/>
    <xf numFmtId="0" fontId="98" fillId="0" borderId="0" xfId="230" applyFont="1"/>
    <xf numFmtId="164" fontId="102" fillId="0" borderId="0" xfId="219" applyNumberFormat="1" applyFont="1"/>
    <xf numFmtId="0" fontId="102" fillId="24" borderId="31" xfId="219" applyFont="1" applyFill="1" applyBorder="1" applyAlignment="1">
      <alignment vertical="center"/>
    </xf>
    <xf numFmtId="0" fontId="79" fillId="25" borderId="31" xfId="219" applyFont="1" applyFill="1" applyBorder="1"/>
    <xf numFmtId="0" fontId="107" fillId="25" borderId="0" xfId="230" applyFont="1" applyFill="1" applyAlignment="1">
      <alignment wrapText="1"/>
    </xf>
    <xf numFmtId="43" fontId="102" fillId="0" borderId="0" xfId="232" applyFont="1"/>
    <xf numFmtId="0" fontId="102" fillId="24" borderId="11" xfId="219" applyFont="1" applyFill="1" applyBorder="1" applyAlignment="1">
      <alignment horizontal="left" vertical="center"/>
    </xf>
    <xf numFmtId="169" fontId="102" fillId="25" borderId="11" xfId="219" applyNumberFormat="1" applyFont="1" applyFill="1" applyBorder="1"/>
    <xf numFmtId="169" fontId="107" fillId="25" borderId="0" xfId="230" applyNumberFormat="1" applyFont="1" applyFill="1" applyAlignment="1">
      <alignment wrapText="1"/>
    </xf>
    <xf numFmtId="43" fontId="79" fillId="0" borderId="0" xfId="232" applyFont="1"/>
    <xf numFmtId="0" fontId="79" fillId="25" borderId="11" xfId="219" applyFont="1" applyFill="1" applyBorder="1"/>
    <xf numFmtId="169" fontId="102" fillId="25" borderId="0" xfId="219" applyNumberFormat="1" applyFont="1" applyFill="1"/>
    <xf numFmtId="0" fontId="102" fillId="24" borderId="11" xfId="219" applyFont="1" applyFill="1" applyBorder="1" applyAlignment="1">
      <alignment vertical="center"/>
    </xf>
    <xf numFmtId="0" fontId="102" fillId="40" borderId="107" xfId="219" applyFont="1" applyFill="1" applyBorder="1" applyAlignment="1">
      <alignment horizontal="center" vertical="center"/>
    </xf>
    <xf numFmtId="0" fontId="107" fillId="33" borderId="113" xfId="219" applyFont="1" applyFill="1" applyBorder="1" applyAlignment="1">
      <alignment horizontal="center"/>
    </xf>
    <xf numFmtId="164" fontId="79" fillId="25" borderId="0" xfId="219" applyNumberFormat="1" applyFont="1" applyFill="1"/>
    <xf numFmtId="185" fontId="79" fillId="24" borderId="15" xfId="218" applyNumberFormat="1" applyFont="1" applyFill="1" applyBorder="1" applyAlignment="1">
      <alignment horizontal="center" vertical="center"/>
    </xf>
    <xf numFmtId="185" fontId="79" fillId="24" borderId="108" xfId="218" applyNumberFormat="1" applyFont="1" applyFill="1" applyBorder="1" applyAlignment="1">
      <alignment horizontal="center" vertical="center"/>
    </xf>
    <xf numFmtId="185" fontId="79" fillId="24" borderId="115" xfId="218" applyNumberFormat="1" applyFont="1" applyFill="1" applyBorder="1" applyAlignment="1">
      <alignment horizontal="center" vertical="center"/>
    </xf>
    <xf numFmtId="185" fontId="79" fillId="25" borderId="0" xfId="219" applyNumberFormat="1" applyFont="1" applyFill="1"/>
    <xf numFmtId="0" fontId="102" fillId="24" borderId="13" xfId="219" applyFont="1" applyFill="1" applyBorder="1" applyAlignment="1">
      <alignment vertical="center"/>
    </xf>
    <xf numFmtId="0" fontId="79" fillId="25" borderId="13" xfId="219" applyFont="1" applyFill="1" applyBorder="1" applyAlignment="1">
      <alignment horizontal="center" vertical="center"/>
    </xf>
    <xf numFmtId="169" fontId="102" fillId="25" borderId="13" xfId="219" applyNumberFormat="1" applyFont="1" applyFill="1" applyBorder="1"/>
    <xf numFmtId="169" fontId="103" fillId="0" borderId="0" xfId="219" applyNumberFormat="1" applyFont="1"/>
    <xf numFmtId="0" fontId="102" fillId="40" borderId="109" xfId="219" applyFont="1" applyFill="1" applyBorder="1"/>
    <xf numFmtId="0" fontId="102" fillId="40" borderId="108" xfId="219" applyFont="1" applyFill="1" applyBorder="1" applyAlignment="1">
      <alignment horizontal="center" vertical="center"/>
    </xf>
    <xf numFmtId="169" fontId="102" fillId="40" borderId="108" xfId="219" applyNumberFormat="1" applyFont="1" applyFill="1" applyBorder="1"/>
    <xf numFmtId="168" fontId="79" fillId="0" borderId="0" xfId="231" applyNumberFormat="1" applyFont="1"/>
    <xf numFmtId="0" fontId="79" fillId="24" borderId="11" xfId="219" applyFont="1" applyFill="1" applyBorder="1" applyAlignment="1">
      <alignment horizontal="left" vertical="center"/>
    </xf>
    <xf numFmtId="0" fontId="79" fillId="0" borderId="11" xfId="219" applyFont="1" applyBorder="1" applyAlignment="1">
      <alignment horizontal="center" vertical="center"/>
    </xf>
    <xf numFmtId="169" fontId="79" fillId="0" borderId="11" xfId="219" applyNumberFormat="1" applyFont="1" applyBorder="1"/>
    <xf numFmtId="169" fontId="79" fillId="0" borderId="26" xfId="219" applyNumberFormat="1" applyFont="1" applyBorder="1"/>
    <xf numFmtId="174" fontId="79" fillId="0" borderId="0" xfId="219" applyNumberFormat="1" applyFont="1"/>
    <xf numFmtId="0" fontId="79" fillId="25" borderId="13" xfId="219" applyFont="1" applyFill="1" applyBorder="1"/>
    <xf numFmtId="0" fontId="79" fillId="0" borderId="11" xfId="219" applyFont="1" applyBorder="1" applyAlignment="1">
      <alignment horizontal="left" vertical="center" indent="1"/>
    </xf>
    <xf numFmtId="0" fontId="102" fillId="25" borderId="40" xfId="219" applyFont="1" applyFill="1" applyBorder="1" applyAlignment="1">
      <alignment horizontal="left" indent="1"/>
    </xf>
    <xf numFmtId="0" fontId="79" fillId="25" borderId="40" xfId="219" applyFont="1" applyFill="1" applyBorder="1" applyAlignment="1">
      <alignment horizontal="center" vertical="center"/>
    </xf>
    <xf numFmtId="0" fontId="79" fillId="25" borderId="40" xfId="219" applyFont="1" applyFill="1" applyBorder="1"/>
    <xf numFmtId="169" fontId="102" fillId="25" borderId="40" xfId="219" applyNumberFormat="1" applyFont="1" applyFill="1" applyBorder="1"/>
    <xf numFmtId="0" fontId="102" fillId="0" borderId="0" xfId="219" applyFont="1" applyAlignment="1">
      <alignment horizontal="center" vertical="center"/>
    </xf>
    <xf numFmtId="0" fontId="79" fillId="0" borderId="0" xfId="219" applyFont="1" applyAlignment="1">
      <alignment vertical="center"/>
    </xf>
    <xf numFmtId="0" fontId="102" fillId="0" borderId="0" xfId="219" applyFont="1" applyAlignment="1">
      <alignment vertical="center"/>
    </xf>
    <xf numFmtId="1" fontId="79" fillId="0" borderId="0" xfId="219" applyNumberFormat="1" applyFont="1" applyAlignment="1">
      <alignment vertical="center"/>
    </xf>
    <xf numFmtId="0" fontId="79" fillId="0" borderId="0" xfId="219" applyFont="1" applyAlignment="1">
      <alignment horizontal="left" vertical="center"/>
    </xf>
    <xf numFmtId="0" fontId="102" fillId="0" borderId="0" xfId="219" applyFont="1" applyAlignment="1">
      <alignment horizontal="left" vertical="center"/>
    </xf>
    <xf numFmtId="2" fontId="79" fillId="0" borderId="0" xfId="219" applyNumberFormat="1" applyFont="1" applyAlignment="1">
      <alignment vertical="center"/>
    </xf>
    <xf numFmtId="0" fontId="79" fillId="0" borderId="0" xfId="219" applyFont="1" applyAlignment="1">
      <alignment horizontal="right"/>
    </xf>
    <xf numFmtId="174" fontId="79" fillId="0" borderId="0" xfId="219" applyNumberFormat="1" applyFont="1" applyAlignment="1">
      <alignment vertical="center"/>
    </xf>
    <xf numFmtId="169" fontId="79" fillId="0" borderId="0" xfId="219" applyNumberFormat="1" applyFont="1" applyAlignment="1">
      <alignment vertical="center"/>
    </xf>
    <xf numFmtId="175" fontId="79" fillId="0" borderId="0" xfId="219" applyNumberFormat="1" applyFont="1" applyAlignment="1">
      <alignment horizontal="right"/>
    </xf>
    <xf numFmtId="0" fontId="79" fillId="0" borderId="0" xfId="219" applyFont="1" applyAlignment="1">
      <alignment horizontal="left" vertical="center" indent="2"/>
    </xf>
    <xf numFmtId="174" fontId="104" fillId="0" borderId="0" xfId="219" applyNumberFormat="1" applyFont="1" applyAlignment="1">
      <alignment vertical="center"/>
    </xf>
    <xf numFmtId="0" fontId="102" fillId="0" borderId="0" xfId="219" applyFont="1" applyAlignment="1">
      <alignment horizontal="right"/>
    </xf>
    <xf numFmtId="169" fontId="102" fillId="0" borderId="0" xfId="219" applyNumberFormat="1" applyFont="1" applyAlignment="1">
      <alignment vertical="center"/>
    </xf>
    <xf numFmtId="175" fontId="79" fillId="0" borderId="0" xfId="219" applyNumberFormat="1" applyFont="1"/>
    <xf numFmtId="2" fontId="102" fillId="0" borderId="0" xfId="219" applyNumberFormat="1" applyFont="1"/>
    <xf numFmtId="0" fontId="79" fillId="0" borderId="0" xfId="219" applyFont="1" applyAlignment="1">
      <alignment horizontal="center" vertical="center"/>
    </xf>
    <xf numFmtId="169" fontId="79" fillId="0" borderId="0" xfId="219" applyNumberFormat="1" applyFont="1" applyAlignment="1">
      <alignment horizontal="center" vertical="center"/>
    </xf>
    <xf numFmtId="177" fontId="102" fillId="0" borderId="0" xfId="219" applyNumberFormat="1" applyFont="1" applyAlignment="1">
      <alignment horizontal="center" vertical="center"/>
    </xf>
    <xf numFmtId="0" fontId="103" fillId="25" borderId="0" xfId="219" applyFont="1" applyFill="1"/>
    <xf numFmtId="175" fontId="103" fillId="0" borderId="0" xfId="219" applyNumberFormat="1" applyFont="1" applyAlignment="1">
      <alignment horizontal="right"/>
    </xf>
    <xf numFmtId="0" fontId="79" fillId="0" borderId="0" xfId="219" applyFont="1" applyAlignment="1">
      <alignment horizontal="center"/>
    </xf>
    <xf numFmtId="10" fontId="79" fillId="0" borderId="0" xfId="219" applyNumberFormat="1" applyFont="1" applyAlignment="1">
      <alignment horizontal="center"/>
    </xf>
    <xf numFmtId="10" fontId="79" fillId="0" borderId="0" xfId="219" applyNumberFormat="1" applyFont="1"/>
    <xf numFmtId="0" fontId="102" fillId="0" borderId="0" xfId="219" applyFont="1" applyAlignment="1">
      <alignment wrapText="1"/>
    </xf>
    <xf numFmtId="1" fontId="79" fillId="0" borderId="0" xfId="219" applyNumberFormat="1" applyFont="1"/>
    <xf numFmtId="1" fontId="79" fillId="24" borderId="0" xfId="219" applyNumberFormat="1" applyFont="1" applyFill="1"/>
    <xf numFmtId="0" fontId="102" fillId="24" borderId="0" xfId="219" applyFont="1" applyFill="1"/>
    <xf numFmtId="0" fontId="132" fillId="0" borderId="72" xfId="230" applyFont="1" applyBorder="1" applyAlignment="1">
      <alignment horizontal="center" vertical="center" wrapText="1"/>
    </xf>
    <xf numFmtId="0" fontId="132" fillId="0" borderId="116" xfId="230" applyFont="1" applyBorder="1" applyAlignment="1">
      <alignment horizontal="center" vertical="center" wrapText="1"/>
    </xf>
    <xf numFmtId="0" fontId="132" fillId="0" borderId="117" xfId="230" applyFont="1" applyBorder="1" applyAlignment="1">
      <alignment horizontal="center" vertical="center" wrapText="1"/>
    </xf>
    <xf numFmtId="0" fontId="130" fillId="44" borderId="65" xfId="230" applyFont="1" applyFill="1" applyBorder="1" applyAlignment="1">
      <alignment horizontal="center" vertical="center"/>
    </xf>
    <xf numFmtId="0" fontId="130" fillId="44" borderId="57" xfId="230" applyFont="1" applyFill="1" applyBorder="1" applyAlignment="1">
      <alignment horizontal="center" vertical="center"/>
    </xf>
    <xf numFmtId="0" fontId="133" fillId="0" borderId="65" xfId="230" applyFont="1" applyBorder="1" applyAlignment="1">
      <alignment horizontal="center" vertical="center" wrapText="1"/>
    </xf>
    <xf numFmtId="0" fontId="130" fillId="47" borderId="65" xfId="230" applyFont="1" applyFill="1" applyBorder="1" applyAlignment="1">
      <alignment horizontal="center" vertical="center"/>
    </xf>
    <xf numFmtId="0" fontId="130" fillId="47" borderId="113" xfId="230" applyFont="1" applyFill="1" applyBorder="1" applyAlignment="1">
      <alignment horizontal="center" vertical="center"/>
    </xf>
    <xf numFmtId="0" fontId="130" fillId="47" borderId="113" xfId="230" applyFont="1" applyFill="1" applyBorder="1" applyAlignment="1">
      <alignment horizontal="right" vertical="center"/>
    </xf>
    <xf numFmtId="0" fontId="134" fillId="0" borderId="35" xfId="230" applyFont="1" applyBorder="1" applyAlignment="1">
      <alignment vertical="center"/>
    </xf>
    <xf numFmtId="0" fontId="135" fillId="0" borderId="35" xfId="230" applyFont="1" applyBorder="1" applyAlignment="1">
      <alignment vertical="center"/>
    </xf>
    <xf numFmtId="0" fontId="135" fillId="0" borderId="35" xfId="230" applyFont="1" applyBorder="1" applyAlignment="1">
      <alignment horizontal="left" vertical="center" indent="2"/>
    </xf>
    <xf numFmtId="0" fontId="123" fillId="0" borderId="35" xfId="230" applyFont="1" applyBorder="1" applyAlignment="1">
      <alignment horizontal="left" vertical="center" indent="2"/>
    </xf>
    <xf numFmtId="0" fontId="121" fillId="0" borderId="35" xfId="230" applyFont="1" applyBorder="1" applyAlignment="1">
      <alignment horizontal="left" vertical="center" indent="2"/>
    </xf>
    <xf numFmtId="0" fontId="134" fillId="0" borderId="35" xfId="230" applyFont="1" applyBorder="1" applyAlignment="1">
      <alignment horizontal="left" vertical="center"/>
    </xf>
    <xf numFmtId="2" fontId="135" fillId="0" borderId="35" xfId="230" applyNumberFormat="1" applyFont="1" applyBorder="1" applyAlignment="1">
      <alignment horizontal="center" vertical="center"/>
    </xf>
    <xf numFmtId="2" fontId="135" fillId="0" borderId="119" xfId="230" applyNumberFormat="1" applyFont="1" applyBorder="1" applyAlignment="1">
      <alignment horizontal="center" vertical="center"/>
    </xf>
    <xf numFmtId="17" fontId="135" fillId="0" borderId="119" xfId="230" applyNumberFormat="1" applyFont="1" applyBorder="1" applyAlignment="1">
      <alignment horizontal="center" vertical="center"/>
    </xf>
    <xf numFmtId="0" fontId="134" fillId="0" borderId="119" xfId="230" applyFont="1" applyBorder="1" applyAlignment="1">
      <alignment horizontal="right" vertical="center" indent="2"/>
    </xf>
    <xf numFmtId="0" fontId="134" fillId="0" borderId="119" xfId="230" applyFont="1" applyBorder="1" applyAlignment="1">
      <alignment horizontal="right" vertical="center"/>
    </xf>
    <xf numFmtId="0" fontId="134" fillId="0" borderId="0" xfId="230" applyFont="1" applyAlignment="1">
      <alignment horizontal="right" vertical="center" indent="2"/>
    </xf>
    <xf numFmtId="0" fontId="135" fillId="0" borderId="35" xfId="230" applyFont="1" applyBorder="1" applyAlignment="1">
      <alignment horizontal="left" vertical="center"/>
    </xf>
    <xf numFmtId="0" fontId="134" fillId="27" borderId="35" xfId="230" applyFont="1" applyFill="1" applyBorder="1" applyAlignment="1">
      <alignment vertical="center"/>
    </xf>
    <xf numFmtId="0" fontId="135" fillId="27" borderId="35" xfId="230" applyFont="1" applyFill="1" applyBorder="1" applyAlignment="1">
      <alignment horizontal="left" vertical="center"/>
    </xf>
    <xf numFmtId="0" fontId="135" fillId="27" borderId="35" xfId="230" applyFont="1" applyFill="1" applyBorder="1" applyAlignment="1">
      <alignment horizontal="left" vertical="center" indent="2"/>
    </xf>
    <xf numFmtId="0" fontId="123" fillId="27" borderId="35" xfId="230" applyFont="1" applyFill="1" applyBorder="1" applyAlignment="1">
      <alignment horizontal="left" vertical="center" indent="2"/>
    </xf>
    <xf numFmtId="0" fontId="121" fillId="27" borderId="35" xfId="230" applyFont="1" applyFill="1" applyBorder="1" applyAlignment="1">
      <alignment horizontal="left" vertical="center" indent="2"/>
    </xf>
    <xf numFmtId="0" fontId="134" fillId="27" borderId="35" xfId="230" applyFont="1" applyFill="1" applyBorder="1" applyAlignment="1">
      <alignment horizontal="left" vertical="center"/>
    </xf>
    <xf numFmtId="2" fontId="135" fillId="27" borderId="35" xfId="230" applyNumberFormat="1" applyFont="1" applyFill="1" applyBorder="1" applyAlignment="1">
      <alignment horizontal="center" vertical="center"/>
    </xf>
    <xf numFmtId="2" fontId="135" fillId="27" borderId="119" xfId="230" applyNumberFormat="1" applyFont="1" applyFill="1" applyBorder="1" applyAlignment="1">
      <alignment horizontal="center" vertical="center"/>
    </xf>
    <xf numFmtId="17" fontId="135" fillId="27" borderId="119" xfId="230" applyNumberFormat="1" applyFont="1" applyFill="1" applyBorder="1" applyAlignment="1">
      <alignment horizontal="center" vertical="center"/>
    </xf>
    <xf numFmtId="0" fontId="134" fillId="27" borderId="119" xfId="230" applyFont="1" applyFill="1" applyBorder="1" applyAlignment="1">
      <alignment horizontal="right" vertical="center"/>
    </xf>
    <xf numFmtId="0" fontId="134" fillId="0" borderId="35" xfId="230" applyFont="1" applyBorder="1" applyAlignment="1">
      <alignment horizontal="left" vertical="center" indent="2"/>
    </xf>
    <xf numFmtId="0" fontId="136" fillId="49" borderId="35" xfId="230" applyFont="1" applyFill="1" applyBorder="1" applyAlignment="1">
      <alignment vertical="center"/>
    </xf>
    <xf numFmtId="0" fontId="137" fillId="0" borderId="35" xfId="230" applyFont="1" applyBorder="1" applyAlignment="1">
      <alignment horizontal="left" vertical="center"/>
    </xf>
    <xf numFmtId="2" fontId="48" fillId="46" borderId="35" xfId="230" applyNumberFormat="1" applyFont="1" applyFill="1" applyBorder="1" applyAlignment="1">
      <alignment horizontal="center" vertical="center"/>
    </xf>
    <xf numFmtId="2" fontId="48" fillId="46" borderId="119" xfId="230" applyNumberFormat="1" applyFont="1" applyFill="1" applyBorder="1" applyAlignment="1">
      <alignment horizontal="center" vertical="center"/>
    </xf>
    <xf numFmtId="0" fontId="135" fillId="0" borderId="119" xfId="230" applyFont="1" applyBorder="1" applyAlignment="1">
      <alignment horizontal="center" vertical="center"/>
    </xf>
    <xf numFmtId="0" fontId="134" fillId="49" borderId="35" xfId="230" applyFont="1" applyFill="1" applyBorder="1" applyAlignment="1">
      <alignment vertical="center"/>
    </xf>
    <xf numFmtId="0" fontId="135" fillId="0" borderId="35" xfId="230" applyFont="1" applyBorder="1" applyAlignment="1">
      <alignment horizontal="center" vertical="center"/>
    </xf>
    <xf numFmtId="0" fontId="138" fillId="47" borderId="113" xfId="230" applyFont="1" applyFill="1" applyBorder="1" applyAlignment="1">
      <alignment vertical="center"/>
    </xf>
    <xf numFmtId="0" fontId="138" fillId="47" borderId="113" xfId="230" applyFont="1" applyFill="1" applyBorder="1" applyAlignment="1">
      <alignment horizontal="center" vertical="center"/>
    </xf>
    <xf numFmtId="0" fontId="130" fillId="47" borderId="113" xfId="230" applyFont="1" applyFill="1" applyBorder="1" applyAlignment="1">
      <alignment horizontal="left" vertical="center"/>
    </xf>
    <xf numFmtId="2" fontId="130" fillId="47" borderId="65" xfId="230" applyNumberFormat="1" applyFont="1" applyFill="1" applyBorder="1" applyAlignment="1">
      <alignment horizontal="center" vertical="center"/>
    </xf>
    <xf numFmtId="0" fontId="134" fillId="0" borderId="119" xfId="230" applyFont="1" applyBorder="1" applyAlignment="1">
      <alignment vertical="center"/>
    </xf>
    <xf numFmtId="0" fontId="134" fillId="0" borderId="119" xfId="230" applyFont="1" applyBorder="1" applyAlignment="1">
      <alignment horizontal="right" vertical="center" wrapText="1"/>
    </xf>
    <xf numFmtId="0" fontId="138" fillId="47" borderId="65" xfId="230" applyFont="1" applyFill="1" applyBorder="1" applyAlignment="1">
      <alignment vertical="center"/>
    </xf>
    <xf numFmtId="0" fontId="138" fillId="47" borderId="65" xfId="230" applyFont="1" applyFill="1" applyBorder="1" applyAlignment="1">
      <alignment horizontal="center" vertical="center"/>
    </xf>
    <xf numFmtId="0" fontId="130" fillId="47" borderId="65" xfId="230" applyFont="1" applyFill="1" applyBorder="1" applyAlignment="1">
      <alignment horizontal="left" vertical="center"/>
    </xf>
    <xf numFmtId="2" fontId="48" fillId="0" borderId="35" xfId="230" applyNumberFormat="1" applyFont="1" applyBorder="1" applyAlignment="1">
      <alignment horizontal="center" vertical="center"/>
    </xf>
    <xf numFmtId="0" fontId="136" fillId="0" borderId="35" xfId="230" applyFont="1" applyBorder="1" applyAlignment="1">
      <alignment vertical="center"/>
    </xf>
    <xf numFmtId="2" fontId="137" fillId="46" borderId="35" xfId="230" applyNumberFormat="1" applyFont="1" applyFill="1" applyBorder="1" applyAlignment="1">
      <alignment horizontal="center" vertical="center"/>
    </xf>
    <xf numFmtId="2" fontId="137" fillId="46" borderId="119" xfId="230" applyNumberFormat="1" applyFont="1" applyFill="1" applyBorder="1" applyAlignment="1">
      <alignment horizontal="center" vertical="center"/>
    </xf>
    <xf numFmtId="2" fontId="121" fillId="0" borderId="35" xfId="230" applyNumberFormat="1" applyFont="1" applyBorder="1" applyAlignment="1">
      <alignment horizontal="left" vertical="center" indent="2"/>
    </xf>
    <xf numFmtId="2" fontId="140" fillId="46" borderId="35" xfId="230" applyNumberFormat="1" applyFont="1" applyFill="1" applyBorder="1" applyAlignment="1">
      <alignment horizontal="center" vertical="center"/>
    </xf>
    <xf numFmtId="0" fontId="141" fillId="41" borderId="35" xfId="230" applyFont="1" applyFill="1" applyBorder="1" applyAlignment="1">
      <alignment horizontal="left" vertical="center"/>
    </xf>
    <xf numFmtId="2" fontId="141" fillId="41" borderId="35" xfId="230" applyNumberFormat="1" applyFont="1" applyFill="1" applyBorder="1" applyAlignment="1">
      <alignment horizontal="center" vertical="center"/>
    </xf>
    <xf numFmtId="2" fontId="141" fillId="41" borderId="119" xfId="230" applyNumberFormat="1" applyFont="1" applyFill="1" applyBorder="1" applyAlignment="1">
      <alignment horizontal="center" vertical="center"/>
    </xf>
    <xf numFmtId="2" fontId="142" fillId="0" borderId="35" xfId="230" applyNumberFormat="1" applyFont="1" applyBorder="1" applyAlignment="1">
      <alignment horizontal="center" vertical="center"/>
    </xf>
    <xf numFmtId="2" fontId="142" fillId="0" borderId="119" xfId="230" applyNumberFormat="1" applyFont="1" applyBorder="1" applyAlignment="1">
      <alignment horizontal="center" vertical="center"/>
    </xf>
    <xf numFmtId="2" fontId="142" fillId="27" borderId="35" xfId="230" applyNumberFormat="1" applyFont="1" applyFill="1" applyBorder="1" applyAlignment="1">
      <alignment horizontal="center" vertical="center"/>
    </xf>
    <xf numFmtId="0" fontId="135" fillId="27" borderId="119" xfId="230" applyFont="1" applyFill="1" applyBorder="1" applyAlignment="1">
      <alignment horizontal="center" vertical="center"/>
    </xf>
    <xf numFmtId="0" fontId="134" fillId="27" borderId="119" xfId="230" applyFont="1" applyFill="1" applyBorder="1" applyAlignment="1">
      <alignment horizontal="right" vertical="center" indent="2"/>
    </xf>
    <xf numFmtId="0" fontId="134" fillId="27" borderId="119" xfId="230" applyFont="1" applyFill="1" applyBorder="1" applyAlignment="1">
      <alignment horizontal="left" vertical="center" indent="2"/>
    </xf>
    <xf numFmtId="0" fontId="136" fillId="0" borderId="35" xfId="230" applyFont="1" applyBorder="1" applyAlignment="1">
      <alignment horizontal="left" vertical="center"/>
    </xf>
    <xf numFmtId="0" fontId="134" fillId="42" borderId="35" xfId="230" applyFont="1" applyFill="1" applyBorder="1" applyAlignment="1">
      <alignment horizontal="left" vertical="center"/>
    </xf>
    <xf numFmtId="0" fontId="135" fillId="42" borderId="35" xfId="230" applyFont="1" applyFill="1" applyBorder="1" applyAlignment="1">
      <alignment horizontal="left" vertical="center"/>
    </xf>
    <xf numFmtId="0" fontId="135" fillId="42" borderId="35" xfId="230" applyFont="1" applyFill="1" applyBorder="1" applyAlignment="1">
      <alignment horizontal="left" vertical="center" indent="2"/>
    </xf>
    <xf numFmtId="0" fontId="123" fillId="42" borderId="35" xfId="230" applyFont="1" applyFill="1" applyBorder="1" applyAlignment="1">
      <alignment horizontal="left" vertical="center" indent="2"/>
    </xf>
    <xf numFmtId="0" fontId="121" fillId="42" borderId="35" xfId="230" applyFont="1" applyFill="1" applyBorder="1" applyAlignment="1">
      <alignment horizontal="left" vertical="center" indent="2"/>
    </xf>
    <xf numFmtId="0" fontId="134" fillId="42" borderId="35" xfId="230" applyFont="1" applyFill="1" applyBorder="1" applyAlignment="1">
      <alignment horizontal="left" vertical="center" indent="2"/>
    </xf>
    <xf numFmtId="2" fontId="135" fillId="42" borderId="35" xfId="230" applyNumberFormat="1" applyFont="1" applyFill="1" applyBorder="1" applyAlignment="1">
      <alignment horizontal="center" vertical="center"/>
    </xf>
    <xf numFmtId="2" fontId="135" fillId="42" borderId="119" xfId="230" applyNumberFormat="1" applyFont="1" applyFill="1" applyBorder="1" applyAlignment="1">
      <alignment horizontal="center" vertical="center"/>
    </xf>
    <xf numFmtId="17" fontId="135" fillId="42" borderId="119" xfId="230" applyNumberFormat="1" applyFont="1" applyFill="1" applyBorder="1" applyAlignment="1">
      <alignment horizontal="center" vertical="center"/>
    </xf>
    <xf numFmtId="0" fontId="134" fillId="42" borderId="119" xfId="230" applyFont="1" applyFill="1" applyBorder="1" applyAlignment="1">
      <alignment horizontal="right" vertical="center"/>
    </xf>
    <xf numFmtId="0" fontId="143" fillId="0" borderId="35" xfId="230" applyFont="1" applyBorder="1" applyAlignment="1">
      <alignment vertical="center"/>
    </xf>
    <xf numFmtId="0" fontId="143" fillId="0" borderId="35" xfId="230" applyFont="1" applyBorder="1" applyAlignment="1">
      <alignment horizontal="left" vertical="center" indent="2"/>
    </xf>
    <xf numFmtId="2" fontId="144" fillId="46" borderId="35" xfId="230" applyNumberFormat="1" applyFont="1" applyFill="1" applyBorder="1" applyAlignment="1">
      <alignment horizontal="center" vertical="center"/>
    </xf>
    <xf numFmtId="0" fontId="145" fillId="0" borderId="35" xfId="230" applyFont="1" applyBorder="1" applyAlignment="1">
      <alignment horizontal="left" vertical="center" indent="2"/>
    </xf>
    <xf numFmtId="0" fontId="146" fillId="0" borderId="35" xfId="230" applyFont="1" applyBorder="1" applyAlignment="1">
      <alignment horizontal="left" vertical="center" indent="2"/>
    </xf>
    <xf numFmtId="2" fontId="144" fillId="46" borderId="119" xfId="230" applyNumberFormat="1" applyFont="1" applyFill="1" applyBorder="1" applyAlignment="1">
      <alignment horizontal="center" vertical="center"/>
    </xf>
    <xf numFmtId="0" fontId="2" fillId="0" borderId="0" xfId="230" applyAlignment="1">
      <alignment horizontal="right"/>
    </xf>
    <xf numFmtId="0" fontId="123" fillId="0" borderId="35" xfId="230" applyFont="1" applyBorder="1" applyAlignment="1">
      <alignment vertical="center"/>
    </xf>
    <xf numFmtId="0" fontId="123" fillId="0" borderId="35" xfId="230" applyFont="1" applyBorder="1" applyAlignment="1">
      <alignment horizontal="center" vertical="center"/>
    </xf>
    <xf numFmtId="0" fontId="123" fillId="0" borderId="119" xfId="230" applyFont="1" applyBorder="1" applyAlignment="1">
      <alignment horizontal="center" vertical="center"/>
    </xf>
    <xf numFmtId="0" fontId="123" fillId="0" borderId="119" xfId="230" applyFont="1" applyBorder="1" applyAlignment="1">
      <alignment horizontal="right" vertical="center" indent="2"/>
    </xf>
    <xf numFmtId="2" fontId="147" fillId="0" borderId="35" xfId="230" applyNumberFormat="1" applyFont="1" applyBorder="1" applyAlignment="1">
      <alignment horizontal="center" vertical="center"/>
    </xf>
    <xf numFmtId="0" fontId="147" fillId="0" borderId="35" xfId="230" applyFont="1" applyBorder="1" applyAlignment="1">
      <alignment horizontal="center" vertical="center"/>
    </xf>
    <xf numFmtId="15" fontId="134" fillId="0" borderId="35" xfId="230" applyNumberFormat="1" applyFont="1" applyBorder="1" applyAlignment="1">
      <alignment horizontal="left" vertical="center" indent="2"/>
    </xf>
    <xf numFmtId="0" fontId="134" fillId="0" borderId="39" xfId="230" applyFont="1" applyBorder="1" applyAlignment="1">
      <alignment vertical="center"/>
    </xf>
    <xf numFmtId="0" fontId="135" fillId="0" borderId="39" xfId="230" applyFont="1" applyBorder="1" applyAlignment="1">
      <alignment vertical="center"/>
    </xf>
    <xf numFmtId="0" fontId="135" fillId="0" borderId="39" xfId="230" applyFont="1" applyBorder="1" applyAlignment="1">
      <alignment horizontal="left" vertical="center" indent="2"/>
    </xf>
    <xf numFmtId="0" fontId="123" fillId="0" borderId="39" xfId="230" applyFont="1" applyBorder="1" applyAlignment="1">
      <alignment horizontal="left" vertical="center" indent="2"/>
    </xf>
    <xf numFmtId="0" fontId="121" fillId="0" borderId="39" xfId="230" applyFont="1" applyBorder="1" applyAlignment="1">
      <alignment horizontal="left" vertical="center" indent="2"/>
    </xf>
    <xf numFmtId="0" fontId="134" fillId="0" borderId="39" xfId="230" applyFont="1" applyBorder="1" applyAlignment="1">
      <alignment horizontal="left" vertical="center" indent="2"/>
    </xf>
    <xf numFmtId="2" fontId="135" fillId="0" borderId="39" xfId="230" applyNumberFormat="1" applyFont="1" applyBorder="1" applyAlignment="1">
      <alignment horizontal="center" vertical="center"/>
    </xf>
    <xf numFmtId="2" fontId="135" fillId="0" borderId="118" xfId="230" applyNumberFormat="1" applyFont="1" applyBorder="1" applyAlignment="1">
      <alignment horizontal="center" vertical="center"/>
    </xf>
    <xf numFmtId="0" fontId="135" fillId="0" borderId="118" xfId="230" applyFont="1" applyBorder="1" applyAlignment="1">
      <alignment horizontal="center" vertical="center"/>
    </xf>
    <xf numFmtId="0" fontId="134" fillId="0" borderId="118" xfId="230" applyFont="1" applyBorder="1" applyAlignment="1">
      <alignment horizontal="right" vertical="center" indent="2"/>
    </xf>
    <xf numFmtId="4" fontId="98" fillId="0" borderId="109" xfId="230" applyNumberFormat="1" applyFont="1" applyBorder="1" applyAlignment="1">
      <alignment horizontal="center" vertical="center"/>
    </xf>
    <xf numFmtId="4" fontId="98" fillId="0" borderId="107" xfId="230" applyNumberFormat="1" applyFont="1" applyBorder="1" applyAlignment="1">
      <alignment horizontal="center" vertical="center"/>
    </xf>
    <xf numFmtId="4" fontId="148" fillId="0" borderId="109" xfId="230" applyNumberFormat="1" applyFont="1" applyBorder="1" applyAlignment="1">
      <alignment horizontal="center" vertical="center"/>
    </xf>
    <xf numFmtId="4" fontId="148" fillId="0" borderId="107" xfId="230" applyNumberFormat="1" applyFont="1" applyBorder="1" applyAlignment="1">
      <alignment horizontal="center" vertical="center"/>
    </xf>
    <xf numFmtId="4" fontId="149" fillId="50" borderId="72" xfId="230" applyNumberFormat="1" applyFont="1" applyFill="1" applyBorder="1" applyAlignment="1">
      <alignment horizontal="center" vertical="center"/>
    </xf>
    <xf numFmtId="4" fontId="149" fillId="50" borderId="107" xfId="230" applyNumberFormat="1" applyFont="1" applyFill="1" applyBorder="1" applyAlignment="1">
      <alignment horizontal="center" vertical="center"/>
    </xf>
    <xf numFmtId="4" fontId="150" fillId="50" borderId="72" xfId="230" applyNumberFormat="1" applyFont="1" applyFill="1" applyBorder="1" applyAlignment="1">
      <alignment horizontal="center" vertical="center"/>
    </xf>
    <xf numFmtId="4" fontId="150" fillId="50" borderId="107" xfId="230" applyNumberFormat="1" applyFont="1" applyFill="1" applyBorder="1" applyAlignment="1">
      <alignment horizontal="center" vertical="center"/>
    </xf>
    <xf numFmtId="0" fontId="148" fillId="0" borderId="0" xfId="230" applyFont="1"/>
    <xf numFmtId="0" fontId="151" fillId="0" borderId="0" xfId="230" applyFont="1" applyAlignment="1">
      <alignment vertical="center"/>
    </xf>
    <xf numFmtId="43" fontId="0" fillId="0" borderId="0" xfId="232" applyFont="1"/>
    <xf numFmtId="189" fontId="0" fillId="0" borderId="0" xfId="232" applyNumberFormat="1" applyFont="1"/>
    <xf numFmtId="10" fontId="2" fillId="0" borderId="0" xfId="230" applyNumberFormat="1"/>
    <xf numFmtId="9" fontId="0" fillId="0" borderId="0" xfId="231" applyFont="1"/>
    <xf numFmtId="190" fontId="2" fillId="0" borderId="0" xfId="230" applyNumberFormat="1"/>
    <xf numFmtId="189" fontId="2" fillId="0" borderId="0" xfId="230" applyNumberFormat="1"/>
    <xf numFmtId="191" fontId="152" fillId="0" borderId="0" xfId="232" applyNumberFormat="1" applyFont="1"/>
    <xf numFmtId="43" fontId="2" fillId="0" borderId="0" xfId="230" applyNumberFormat="1"/>
    <xf numFmtId="0" fontId="108" fillId="51" borderId="13" xfId="230" applyFont="1" applyFill="1" applyBorder="1" applyAlignment="1">
      <alignment horizontal="center" vertical="center"/>
    </xf>
    <xf numFmtId="0" fontId="58" fillId="0" borderId="63" xfId="233" applyFont="1" applyBorder="1" applyAlignment="1">
      <alignment horizontal="center" vertical="center"/>
    </xf>
    <xf numFmtId="0" fontId="58" fillId="0" borderId="64" xfId="233" applyFont="1" applyBorder="1" applyAlignment="1">
      <alignment horizontal="center" vertical="center"/>
    </xf>
    <xf numFmtId="0" fontId="58" fillId="0" borderId="13" xfId="233" applyFont="1" applyBorder="1" applyAlignment="1">
      <alignment horizontal="center" vertical="center"/>
    </xf>
    <xf numFmtId="0" fontId="58" fillId="0" borderId="43" xfId="233" applyFont="1" applyBorder="1" applyAlignment="1">
      <alignment horizontal="center" vertical="center"/>
    </xf>
    <xf numFmtId="0" fontId="61" fillId="28" borderId="20" xfId="233" applyFont="1" applyFill="1" applyBorder="1" applyAlignment="1">
      <alignment horizontal="center" vertical="center"/>
    </xf>
    <xf numFmtId="0" fontId="61" fillId="28" borderId="53" xfId="233" applyFont="1" applyFill="1" applyBorder="1" applyAlignment="1">
      <alignment horizontal="center" vertical="center"/>
    </xf>
    <xf numFmtId="2" fontId="61" fillId="28" borderId="25" xfId="233" applyNumberFormat="1" applyFont="1" applyFill="1" applyBorder="1" applyAlignment="1">
      <alignment horizontal="center" vertical="center"/>
    </xf>
    <xf numFmtId="2" fontId="61" fillId="28" borderId="54" xfId="233" applyNumberFormat="1" applyFont="1" applyFill="1" applyBorder="1" applyAlignment="1">
      <alignment horizontal="center" vertical="center"/>
    </xf>
    <xf numFmtId="0" fontId="62" fillId="0" borderId="22" xfId="233" applyFont="1" applyBorder="1" applyAlignment="1">
      <alignment horizontal="left" vertical="center" indent="1"/>
    </xf>
    <xf numFmtId="0" fontId="52" fillId="0" borderId="0" xfId="233" applyFont="1" applyAlignment="1">
      <alignment horizontal="center" vertical="center"/>
    </xf>
    <xf numFmtId="0" fontId="52" fillId="0" borderId="22" xfId="233" applyFont="1" applyBorder="1" applyAlignment="1">
      <alignment horizontal="center" vertical="center"/>
    </xf>
    <xf numFmtId="0" fontId="52" fillId="0" borderId="11" xfId="233" applyFont="1" applyBorder="1" applyAlignment="1">
      <alignment horizontal="center" vertical="center"/>
    </xf>
    <xf numFmtId="0" fontId="52" fillId="0" borderId="5" xfId="233" applyFont="1" applyBorder="1" applyAlignment="1">
      <alignment horizontal="center" vertical="center"/>
    </xf>
    <xf numFmtId="0" fontId="52" fillId="0" borderId="22" xfId="233" applyFont="1" applyBorder="1" applyAlignment="1">
      <alignment horizontal="left" vertical="center" indent="2"/>
    </xf>
    <xf numFmtId="2" fontId="154" fillId="0" borderId="11" xfId="230" applyNumberFormat="1" applyFont="1" applyBorder="1" applyAlignment="1">
      <alignment horizontal="center" vertical="center"/>
    </xf>
    <xf numFmtId="2" fontId="154" fillId="0" borderId="5" xfId="230" applyNumberFormat="1" applyFont="1" applyBorder="1" applyAlignment="1">
      <alignment horizontal="center" vertical="center"/>
    </xf>
    <xf numFmtId="0" fontId="52" fillId="0" borderId="21" xfId="233" applyFont="1" applyBorder="1" applyAlignment="1">
      <alignment horizontal="left" vertical="center" indent="3"/>
    </xf>
    <xf numFmtId="0" fontId="52" fillId="0" borderId="23" xfId="233" applyFont="1" applyBorder="1" applyAlignment="1">
      <alignment horizontal="center" vertical="center"/>
    </xf>
    <xf numFmtId="0" fontId="52" fillId="0" borderId="21" xfId="233" applyFont="1" applyBorder="1" applyAlignment="1">
      <alignment horizontal="center" vertical="center"/>
    </xf>
    <xf numFmtId="0" fontId="52" fillId="0" borderId="26" xfId="233" applyFont="1" applyBorder="1" applyAlignment="1">
      <alignment horizontal="center" vertical="center"/>
    </xf>
    <xf numFmtId="0" fontId="52" fillId="0" borderId="24" xfId="233" applyFont="1" applyBorder="1" applyAlignment="1">
      <alignment horizontal="center" vertical="center"/>
    </xf>
    <xf numFmtId="0" fontId="61" fillId="28" borderId="20" xfId="233" applyFont="1" applyFill="1" applyBorder="1" applyAlignment="1">
      <alignment horizontal="left" vertical="center"/>
    </xf>
    <xf numFmtId="0" fontId="123" fillId="0" borderId="22" xfId="230" applyFont="1" applyBorder="1" applyAlignment="1">
      <alignment horizontal="left" vertical="center" indent="2"/>
    </xf>
    <xf numFmtId="0" fontId="123" fillId="0" borderId="22" xfId="230" applyFont="1" applyBorder="1" applyAlignment="1">
      <alignment horizontal="center" vertical="center"/>
    </xf>
    <xf numFmtId="2" fontId="52" fillId="0" borderId="26" xfId="233" applyNumberFormat="1" applyFont="1" applyBorder="1" applyAlignment="1">
      <alignment horizontal="center" vertical="center"/>
    </xf>
    <xf numFmtId="2" fontId="52" fillId="0" borderId="24" xfId="233" applyNumberFormat="1" applyFont="1" applyBorder="1" applyAlignment="1">
      <alignment horizontal="center" vertical="center"/>
    </xf>
    <xf numFmtId="0" fontId="61" fillId="28" borderId="22" xfId="233" applyFont="1" applyFill="1" applyBorder="1" applyAlignment="1">
      <alignment horizontal="left" vertical="center"/>
    </xf>
    <xf numFmtId="0" fontId="61" fillId="28" borderId="0" xfId="233" applyFont="1" applyFill="1" applyAlignment="1">
      <alignment horizontal="center" vertical="center"/>
    </xf>
    <xf numFmtId="0" fontId="61" fillId="28" borderId="22" xfId="233" applyFont="1" applyFill="1" applyBorder="1" applyAlignment="1">
      <alignment horizontal="center" vertical="center"/>
    </xf>
    <xf numFmtId="2" fontId="61" fillId="28" borderId="11" xfId="233" applyNumberFormat="1" applyFont="1" applyFill="1" applyBorder="1" applyAlignment="1">
      <alignment horizontal="center" vertical="center"/>
    </xf>
    <xf numFmtId="2" fontId="61" fillId="28" borderId="5" xfId="233" applyNumberFormat="1" applyFont="1" applyFill="1" applyBorder="1" applyAlignment="1">
      <alignment horizontal="center" vertical="center"/>
    </xf>
    <xf numFmtId="2" fontId="52" fillId="0" borderId="11" xfId="233" applyNumberFormat="1" applyFont="1" applyBorder="1" applyAlignment="1">
      <alignment horizontal="center" vertical="center"/>
    </xf>
    <xf numFmtId="2" fontId="52" fillId="0" borderId="5" xfId="233" applyNumberFormat="1" applyFont="1" applyBorder="1" applyAlignment="1">
      <alignment horizontal="center" vertical="center"/>
    </xf>
    <xf numFmtId="0" fontId="50" fillId="0" borderId="22" xfId="233" applyFont="1" applyBorder="1" applyAlignment="1">
      <alignment horizontal="left" vertical="center" indent="2"/>
    </xf>
    <xf numFmtId="0" fontId="124" fillId="0" borderId="22" xfId="233" applyFont="1" applyBorder="1" applyAlignment="1">
      <alignment horizontal="left" vertical="center" indent="1"/>
    </xf>
    <xf numFmtId="0" fontId="52" fillId="0" borderId="22" xfId="233" applyFont="1" applyBorder="1" applyAlignment="1">
      <alignment horizontal="left" vertical="center" indent="3"/>
    </xf>
    <xf numFmtId="2" fontId="2" fillId="0" borderId="0" xfId="230" applyNumberFormat="1"/>
    <xf numFmtId="0" fontId="154" fillId="0" borderId="11" xfId="230" applyFont="1" applyBorder="1" applyAlignment="1">
      <alignment horizontal="center" vertical="center"/>
    </xf>
    <xf numFmtId="0" fontId="154" fillId="0" borderId="5" xfId="230" applyFont="1" applyBorder="1" applyAlignment="1">
      <alignment horizontal="center" vertical="center"/>
    </xf>
    <xf numFmtId="2" fontId="61" fillId="28" borderId="53" xfId="233" applyNumberFormat="1" applyFont="1" applyFill="1" applyBorder="1" applyAlignment="1">
      <alignment horizontal="center" vertical="center"/>
    </xf>
    <xf numFmtId="0" fontId="52" fillId="0" borderId="22" xfId="233" applyFont="1" applyBorder="1" applyAlignment="1">
      <alignment horizontal="left" vertical="center" indent="1"/>
    </xf>
    <xf numFmtId="2" fontId="61" fillId="28" borderId="109" xfId="233" applyNumberFormat="1" applyFont="1" applyFill="1" applyBorder="1" applyAlignment="1">
      <alignment horizontal="center" vertical="center"/>
    </xf>
    <xf numFmtId="2" fontId="61" fillId="28" borderId="108" xfId="233" applyNumberFormat="1" applyFont="1" applyFill="1" applyBorder="1" applyAlignment="1">
      <alignment horizontal="center" vertical="center"/>
    </xf>
    <xf numFmtId="2" fontId="61" fillId="28" borderId="115" xfId="233" applyNumberFormat="1" applyFont="1" applyFill="1" applyBorder="1" applyAlignment="1">
      <alignment horizontal="center" vertical="center"/>
    </xf>
    <xf numFmtId="2" fontId="154" fillId="0" borderId="11" xfId="0" applyNumberFormat="1" applyFont="1" applyBorder="1" applyAlignment="1">
      <alignment horizontal="center" vertical="center"/>
    </xf>
    <xf numFmtId="2" fontId="154" fillId="0" borderId="5" xfId="0" applyNumberFormat="1" applyFont="1" applyBorder="1" applyAlignment="1">
      <alignment horizontal="center" vertical="center"/>
    </xf>
    <xf numFmtId="2" fontId="154" fillId="30" borderId="11" xfId="230" applyNumberFormat="1" applyFont="1" applyFill="1" applyBorder="1" applyAlignment="1">
      <alignment horizontal="center" vertical="center"/>
    </xf>
    <xf numFmtId="2" fontId="135" fillId="30" borderId="35" xfId="230" applyNumberFormat="1" applyFont="1" applyFill="1" applyBorder="1" applyAlignment="1">
      <alignment horizontal="center" vertical="center"/>
    </xf>
    <xf numFmtId="0" fontId="158" fillId="30" borderId="0" xfId="230" applyFont="1" applyFill="1"/>
    <xf numFmtId="0" fontId="158" fillId="41" borderId="0" xfId="230" applyFont="1" applyFill="1"/>
    <xf numFmtId="0" fontId="2" fillId="41" borderId="0" xfId="230" applyFill="1"/>
    <xf numFmtId="15" fontId="1" fillId="0" borderId="19" xfId="230" applyNumberFormat="1" applyFont="1" applyBorder="1"/>
    <xf numFmtId="2" fontId="161" fillId="30" borderId="61" xfId="221" applyNumberFormat="1" applyFont="1" applyFill="1" applyBorder="1" applyAlignment="1">
      <alignment horizontal="right" vertical="center"/>
    </xf>
    <xf numFmtId="15" fontId="1" fillId="0" borderId="112" xfId="230" applyNumberFormat="1" applyFont="1" applyBorder="1"/>
    <xf numFmtId="2" fontId="161" fillId="30" borderId="27" xfId="221" applyNumberFormat="1" applyFont="1" applyFill="1" applyBorder="1" applyAlignment="1">
      <alignment horizontal="right" vertical="center"/>
    </xf>
    <xf numFmtId="15" fontId="1" fillId="0" borderId="15" xfId="230" applyNumberFormat="1" applyFont="1" applyBorder="1"/>
    <xf numFmtId="2" fontId="161" fillId="30" borderId="28" xfId="221" applyNumberFormat="1" applyFont="1" applyFill="1" applyBorder="1" applyAlignment="1">
      <alignment horizontal="right" vertical="center"/>
    </xf>
    <xf numFmtId="0" fontId="98" fillId="0" borderId="72" xfId="230" applyFont="1" applyBorder="1" applyAlignment="1">
      <alignment horizontal="center"/>
    </xf>
    <xf numFmtId="2" fontId="160" fillId="0" borderId="106" xfId="230" applyNumberFormat="1" applyFont="1" applyBorder="1"/>
    <xf numFmtId="0" fontId="14" fillId="27" borderId="63" xfId="0" applyFont="1" applyFill="1" applyBorder="1" applyAlignment="1">
      <alignment horizontal="center"/>
    </xf>
    <xf numFmtId="0" fontId="14" fillId="27" borderId="64" xfId="0" applyFont="1" applyFill="1" applyBorder="1" applyAlignment="1">
      <alignment horizontal="center"/>
    </xf>
    <xf numFmtId="0" fontId="14" fillId="27" borderId="43" xfId="0" applyFont="1" applyFill="1" applyBorder="1" applyAlignment="1">
      <alignment horizont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43" xfId="0" applyFont="1" applyBorder="1" applyAlignment="1">
      <alignment horizontal="center" vertical="center"/>
    </xf>
    <xf numFmtId="0" fontId="91" fillId="0" borderId="22" xfId="0" applyFont="1" applyBorder="1" applyAlignment="1">
      <alignment horizontal="left"/>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43" xfId="0" applyFont="1" applyBorder="1" applyAlignment="1">
      <alignment horizontal="center" vertical="center"/>
    </xf>
    <xf numFmtId="0" fontId="14" fillId="0" borderId="0" xfId="0" applyFont="1" applyAlignment="1">
      <alignment horizontal="center"/>
    </xf>
    <xf numFmtId="0" fontId="12" fillId="27" borderId="25" xfId="0" applyFont="1" applyFill="1" applyBorder="1" applyAlignment="1">
      <alignment horizontal="left" vertical="center"/>
    </xf>
    <xf numFmtId="0" fontId="12" fillId="27" borderId="26" xfId="0" applyFont="1" applyFill="1" applyBorder="1" applyAlignment="1">
      <alignment horizontal="left" vertical="center"/>
    </xf>
    <xf numFmtId="0" fontId="12" fillId="27" borderId="13" xfId="0" applyFont="1" applyFill="1" applyBorder="1" applyAlignment="1">
      <alignment horizontal="center" vertical="center" wrapText="1"/>
    </xf>
    <xf numFmtId="0" fontId="102" fillId="0" borderId="0" xfId="219" applyFont="1" applyAlignment="1">
      <alignment horizontal="center"/>
    </xf>
    <xf numFmtId="0" fontId="102" fillId="0" borderId="0" xfId="219" applyFont="1" applyAlignment="1">
      <alignment horizontal="center" vertical="center"/>
    </xf>
    <xf numFmtId="0" fontId="79" fillId="0" borderId="0" xfId="219" applyFont="1" applyAlignment="1">
      <alignment horizontal="center" vertical="center"/>
    </xf>
    <xf numFmtId="0" fontId="12" fillId="24" borderId="0" xfId="230" applyFont="1" applyFill="1" applyAlignment="1">
      <alignment horizontal="center"/>
    </xf>
    <xf numFmtId="0" fontId="107" fillId="33" borderId="19" xfId="219" applyFont="1" applyFill="1" applyBorder="1" applyAlignment="1">
      <alignment horizontal="center" vertical="center"/>
    </xf>
    <xf numFmtId="0" fontId="107" fillId="33" borderId="50" xfId="219" applyFont="1" applyFill="1" applyBorder="1" applyAlignment="1">
      <alignment horizontal="center" vertical="center"/>
    </xf>
    <xf numFmtId="0" fontId="107" fillId="33" borderId="110" xfId="219" applyFont="1" applyFill="1" applyBorder="1" applyAlignment="1">
      <alignment horizontal="center" vertical="center"/>
    </xf>
    <xf numFmtId="0" fontId="107" fillId="33" borderId="15" xfId="219" applyFont="1" applyFill="1" applyBorder="1" applyAlignment="1">
      <alignment horizontal="center" vertical="center"/>
    </xf>
    <xf numFmtId="0" fontId="107" fillId="33" borderId="14" xfId="219" applyFont="1" applyFill="1" applyBorder="1" applyAlignment="1">
      <alignment horizontal="center" vertical="center"/>
    </xf>
    <xf numFmtId="0" fontId="107" fillId="33" borderId="114" xfId="219" applyFont="1" applyFill="1" applyBorder="1" applyAlignment="1">
      <alignment horizontal="center" vertical="center"/>
    </xf>
    <xf numFmtId="3" fontId="14" fillId="0" borderId="0" xfId="0" applyNumberFormat="1" applyFont="1" applyAlignment="1">
      <alignment horizontal="center"/>
    </xf>
    <xf numFmtId="0" fontId="14" fillId="27" borderId="25" xfId="0" applyFont="1" applyFill="1" applyBorder="1" applyAlignment="1">
      <alignment horizontal="center"/>
    </xf>
    <xf numFmtId="0" fontId="14" fillId="27" borderId="26" xfId="0" applyFont="1" applyFill="1" applyBorder="1" applyAlignment="1">
      <alignment horizontal="center"/>
    </xf>
    <xf numFmtId="0" fontId="131" fillId="0" borderId="0" xfId="230" applyFont="1" applyAlignment="1">
      <alignment horizontal="center" vertical="center" wrapText="1"/>
    </xf>
    <xf numFmtId="0" fontId="130" fillId="44" borderId="113" xfId="230" applyFont="1" applyFill="1" applyBorder="1" applyAlignment="1">
      <alignment horizontal="center" vertical="center"/>
    </xf>
    <xf numFmtId="0" fontId="130" fillId="44" borderId="118" xfId="230" applyFont="1" applyFill="1" applyBorder="1" applyAlignment="1">
      <alignment horizontal="center" vertical="center"/>
    </xf>
    <xf numFmtId="0" fontId="121" fillId="48" borderId="113" xfId="230" applyFont="1" applyFill="1" applyBorder="1" applyAlignment="1">
      <alignment horizontal="center" vertical="center"/>
    </xf>
    <xf numFmtId="0" fontId="121" fillId="48" borderId="118" xfId="230" applyFont="1" applyFill="1" applyBorder="1" applyAlignment="1">
      <alignment horizontal="center" vertical="center"/>
    </xf>
    <xf numFmtId="0" fontId="121" fillId="48" borderId="113" xfId="230" applyFont="1" applyFill="1" applyBorder="1" applyAlignment="1">
      <alignment horizontal="center" vertical="center" wrapText="1"/>
    </xf>
    <xf numFmtId="0" fontId="121" fillId="48" borderId="118" xfId="230" applyFont="1" applyFill="1" applyBorder="1" applyAlignment="1">
      <alignment horizontal="center" vertical="center" wrapText="1"/>
    </xf>
    <xf numFmtId="0" fontId="132" fillId="0" borderId="113" xfId="230" applyFont="1" applyBorder="1" applyAlignment="1">
      <alignment horizontal="center" vertical="center" wrapText="1"/>
    </xf>
    <xf numFmtId="0" fontId="132" fillId="0" borderId="118" xfId="230" applyFont="1" applyBorder="1" applyAlignment="1">
      <alignment horizontal="center" vertical="center" wrapText="1"/>
    </xf>
    <xf numFmtId="0" fontId="130" fillId="44" borderId="59" xfId="230" applyFont="1" applyFill="1" applyBorder="1" applyAlignment="1">
      <alignment horizontal="center" vertical="center" wrapText="1"/>
    </xf>
    <xf numFmtId="0" fontId="130" fillId="44" borderId="71" xfId="230" applyFont="1" applyFill="1" applyBorder="1" applyAlignment="1">
      <alignment horizontal="center" vertical="center" wrapText="1"/>
    </xf>
    <xf numFmtId="0" fontId="130" fillId="50" borderId="72" xfId="230" applyFont="1" applyFill="1" applyBorder="1" applyAlignment="1">
      <alignment horizontal="right" vertical="center"/>
    </xf>
    <xf numFmtId="0" fontId="130" fillId="50" borderId="73" xfId="230" applyFont="1" applyFill="1" applyBorder="1" applyAlignment="1">
      <alignment horizontal="right" vertical="center"/>
    </xf>
    <xf numFmtId="0" fontId="130" fillId="50" borderId="106" xfId="230" applyFont="1" applyFill="1" applyBorder="1" applyAlignment="1">
      <alignment horizontal="right" vertical="center"/>
    </xf>
    <xf numFmtId="0" fontId="130" fillId="28" borderId="37" xfId="230" applyFont="1" applyFill="1" applyBorder="1" applyAlignment="1">
      <alignment horizontal="right" vertical="center"/>
    </xf>
    <xf numFmtId="0" fontId="130" fillId="28" borderId="23" xfId="230" applyFont="1" applyFill="1" applyBorder="1" applyAlignment="1">
      <alignment horizontal="right" vertical="center"/>
    </xf>
    <xf numFmtId="0" fontId="130" fillId="28" borderId="30" xfId="230" applyFont="1" applyFill="1" applyBorder="1" applyAlignment="1">
      <alignment horizontal="right" vertical="center"/>
    </xf>
    <xf numFmtId="0" fontId="162" fillId="0" borderId="72" xfId="221" applyFont="1" applyBorder="1" applyAlignment="1">
      <alignment horizontal="center" vertical="center"/>
    </xf>
    <xf numFmtId="0" fontId="162" fillId="0" borderId="73" xfId="221" applyFont="1" applyBorder="1" applyAlignment="1">
      <alignment horizontal="center" vertical="center"/>
    </xf>
    <xf numFmtId="0" fontId="162" fillId="0" borderId="106" xfId="221" applyFont="1" applyBorder="1" applyAlignment="1">
      <alignment horizontal="center" vertical="center"/>
    </xf>
    <xf numFmtId="0" fontId="150" fillId="50" borderId="72" xfId="230" applyFont="1" applyFill="1" applyBorder="1" applyAlignment="1">
      <alignment horizontal="right" vertical="center"/>
    </xf>
    <xf numFmtId="0" fontId="150" fillId="50" borderId="73" xfId="230" applyFont="1" applyFill="1" applyBorder="1" applyAlignment="1">
      <alignment horizontal="right" vertical="center"/>
    </xf>
    <xf numFmtId="0" fontId="150" fillId="50" borderId="106" xfId="230" applyFont="1" applyFill="1" applyBorder="1" applyAlignment="1">
      <alignment horizontal="right" vertical="center"/>
    </xf>
    <xf numFmtId="0" fontId="130" fillId="28" borderId="65" xfId="230" applyFont="1" applyFill="1" applyBorder="1" applyAlignment="1">
      <alignment horizontal="right" vertical="center"/>
    </xf>
    <xf numFmtId="0" fontId="130" fillId="28" borderId="57" xfId="230" applyFont="1" applyFill="1" applyBorder="1" applyAlignment="1">
      <alignment horizontal="right" vertical="center"/>
    </xf>
    <xf numFmtId="0" fontId="130" fillId="28" borderId="59" xfId="230" applyFont="1" applyFill="1" applyBorder="1" applyAlignment="1">
      <alignment horizontal="right" vertical="center"/>
    </xf>
    <xf numFmtId="0" fontId="130" fillId="28" borderId="39" xfId="230" applyFont="1" applyFill="1" applyBorder="1" applyAlignment="1">
      <alignment horizontal="right" vertical="center"/>
    </xf>
    <xf numFmtId="0" fontId="130" fillId="28" borderId="41" xfId="230" applyFont="1" applyFill="1" applyBorder="1" applyAlignment="1">
      <alignment horizontal="right" vertical="center"/>
    </xf>
    <xf numFmtId="0" fontId="130" fillId="28" borderId="71" xfId="230" applyFont="1" applyFill="1" applyBorder="1" applyAlignment="1">
      <alignment horizontal="right" vertical="center"/>
    </xf>
    <xf numFmtId="0" fontId="98" fillId="0" borderId="72" xfId="230" applyFont="1" applyBorder="1" applyAlignment="1">
      <alignment horizontal="center"/>
    </xf>
    <xf numFmtId="0" fontId="98" fillId="0" borderId="106" xfId="230" applyFont="1" applyBorder="1" applyAlignment="1">
      <alignment horizontal="center"/>
    </xf>
    <xf numFmtId="0" fontId="153" fillId="0" borderId="23" xfId="233" applyFont="1" applyBorder="1" applyAlignment="1">
      <alignment horizontal="center" vertical="center"/>
    </xf>
    <xf numFmtId="0" fontId="155" fillId="0" borderId="72" xfId="230" applyFont="1" applyBorder="1" applyAlignment="1">
      <alignment horizontal="center"/>
    </xf>
    <xf numFmtId="0" fontId="155" fillId="0" borderId="73" xfId="230" applyFont="1" applyBorder="1" applyAlignment="1">
      <alignment horizontal="center"/>
    </xf>
    <xf numFmtId="0" fontId="155" fillId="0" borderId="106" xfId="230" applyFont="1" applyBorder="1" applyAlignment="1">
      <alignment horizontal="center"/>
    </xf>
    <xf numFmtId="0" fontId="159" fillId="0" borderId="72" xfId="221" applyFont="1" applyBorder="1" applyAlignment="1">
      <alignment horizontal="center" vertical="center"/>
    </xf>
    <xf numFmtId="0" fontId="159" fillId="0" borderId="106" xfId="221" applyFont="1" applyBorder="1" applyAlignment="1">
      <alignment horizontal="center" vertical="center"/>
    </xf>
    <xf numFmtId="0" fontId="76" fillId="30" borderId="72" xfId="202" applyFont="1" applyFill="1" applyBorder="1" applyAlignment="1">
      <alignment horizontal="center"/>
    </xf>
    <xf numFmtId="0" fontId="76" fillId="30" borderId="73" xfId="202" applyFont="1" applyFill="1" applyBorder="1" applyAlignment="1">
      <alignment horizontal="center"/>
    </xf>
    <xf numFmtId="0" fontId="82" fillId="0" borderId="0" xfId="0" applyFont="1" applyAlignment="1">
      <alignment horizontal="center"/>
    </xf>
    <xf numFmtId="0" fontId="11" fillId="0" borderId="63" xfId="169" applyBorder="1" applyAlignment="1">
      <alignment horizontal="center"/>
    </xf>
    <xf numFmtId="0" fontId="11" fillId="0" borderId="43" xfId="169" applyBorder="1" applyAlignment="1">
      <alignment horizontal="center"/>
    </xf>
    <xf numFmtId="0" fontId="14" fillId="24" borderId="57" xfId="169" applyFont="1" applyFill="1" applyBorder="1" applyAlignment="1">
      <alignment horizontal="center" vertical="center" wrapText="1"/>
    </xf>
    <xf numFmtId="0" fontId="14" fillId="24" borderId="41" xfId="169" applyFont="1" applyFill="1" applyBorder="1" applyAlignment="1">
      <alignment horizontal="center" vertical="center" wrapText="1"/>
    </xf>
    <xf numFmtId="0" fontId="11" fillId="24" borderId="57" xfId="169" applyFill="1" applyBorder="1" applyAlignment="1">
      <alignment horizontal="center" vertical="center" wrapText="1"/>
    </xf>
    <xf numFmtId="0" fontId="11" fillId="24" borderId="41" xfId="169" applyFill="1" applyBorder="1" applyAlignment="1">
      <alignment horizontal="center" vertical="center" wrapText="1"/>
    </xf>
    <xf numFmtId="0" fontId="11" fillId="24" borderId="59" xfId="169" applyFill="1" applyBorder="1" applyAlignment="1">
      <alignment horizontal="center" vertical="center" wrapText="1"/>
    </xf>
    <xf numFmtId="0" fontId="11" fillId="24" borderId="71" xfId="169" applyFill="1" applyBorder="1" applyAlignment="1">
      <alignment horizontal="center" vertical="center" wrapText="1"/>
    </xf>
    <xf numFmtId="0" fontId="12" fillId="24" borderId="0" xfId="169" applyFont="1" applyFill="1" applyAlignment="1">
      <alignment horizontal="center" vertical="center" wrapText="1"/>
    </xf>
    <xf numFmtId="0" fontId="14" fillId="24" borderId="0" xfId="169" applyFont="1" applyFill="1" applyAlignment="1">
      <alignment horizontal="center"/>
    </xf>
    <xf numFmtId="0" fontId="14" fillId="24" borderId="41" xfId="169" applyFont="1" applyFill="1" applyBorder="1" applyAlignment="1">
      <alignment horizontal="center"/>
    </xf>
    <xf numFmtId="0" fontId="11" fillId="24" borderId="0" xfId="169" applyFill="1" applyAlignment="1">
      <alignment horizontal="center" vertical="center" wrapText="1"/>
    </xf>
    <xf numFmtId="0" fontId="41" fillId="30" borderId="64" xfId="169" applyFont="1" applyFill="1" applyBorder="1" applyAlignment="1">
      <alignment horizontal="center"/>
    </xf>
    <xf numFmtId="0" fontId="41" fillId="30" borderId="43" xfId="169" applyFont="1" applyFill="1" applyBorder="1" applyAlignment="1">
      <alignment horizontal="center"/>
    </xf>
    <xf numFmtId="0" fontId="101" fillId="39" borderId="64" xfId="169" applyFont="1" applyFill="1" applyBorder="1" applyAlignment="1">
      <alignment horizontal="center"/>
    </xf>
    <xf numFmtId="0" fontId="101" fillId="39" borderId="63" xfId="169" applyFont="1" applyFill="1" applyBorder="1" applyAlignment="1">
      <alignment horizontal="center"/>
    </xf>
    <xf numFmtId="0" fontId="101" fillId="39" borderId="64" xfId="169" applyFont="1" applyFill="1" applyBorder="1"/>
    <xf numFmtId="0" fontId="12" fillId="24" borderId="0" xfId="0" applyFont="1" applyFill="1" applyAlignment="1">
      <alignment horizontal="center"/>
    </xf>
    <xf numFmtId="0" fontId="12" fillId="24" borderId="65" xfId="0" applyFont="1" applyFill="1" applyBorder="1" applyAlignment="1">
      <alignment horizontal="center" vertical="center"/>
    </xf>
    <xf numFmtId="0" fontId="12" fillId="24" borderId="58" xfId="0" applyFont="1" applyFill="1" applyBorder="1" applyAlignment="1">
      <alignment horizontal="center" vertical="center"/>
    </xf>
    <xf numFmtId="0" fontId="12" fillId="24" borderId="37" xfId="0" applyFont="1" applyFill="1" applyBorder="1" applyAlignment="1">
      <alignment horizontal="center" vertical="center"/>
    </xf>
    <xf numFmtId="0" fontId="12" fillId="24" borderId="24" xfId="0" applyFont="1" applyFill="1" applyBorder="1" applyAlignment="1">
      <alignment horizontal="center" vertical="center"/>
    </xf>
    <xf numFmtId="0" fontId="12" fillId="0" borderId="0" xfId="0" applyFont="1" applyAlignment="1">
      <alignment horizontal="center"/>
    </xf>
    <xf numFmtId="0" fontId="11" fillId="0" borderId="25" xfId="0" applyFont="1" applyBorder="1" applyAlignment="1">
      <alignment horizontal="center" wrapText="1"/>
    </xf>
    <xf numFmtId="0" fontId="11" fillId="0" borderId="26" xfId="0" applyFont="1" applyBorder="1" applyAlignment="1">
      <alignment horizontal="center" wrapText="1"/>
    </xf>
    <xf numFmtId="0" fontId="41" fillId="0" borderId="63" xfId="0" applyFont="1" applyBorder="1" applyAlignment="1">
      <alignment horizontal="center" vertical="center"/>
    </xf>
    <xf numFmtId="0" fontId="0" fillId="0" borderId="43" xfId="0" applyBorder="1" applyAlignment="1">
      <alignment horizontal="center" vertical="center"/>
    </xf>
    <xf numFmtId="0" fontId="58" fillId="0" borderId="23" xfId="226" applyFont="1" applyBorder="1" applyAlignment="1">
      <alignment horizontal="center" vertical="center"/>
    </xf>
    <xf numFmtId="0" fontId="82" fillId="36" borderId="0" xfId="0" applyFont="1" applyFill="1" applyAlignment="1">
      <alignment horizontal="center"/>
    </xf>
  </cellXfs>
  <cellStyles count="234">
    <cellStyle name="20% - Énfasis1" xfId="1" builtinId="30" customBuiltin="1"/>
    <cellStyle name="20% - Énfasis1 2" xfId="71"/>
    <cellStyle name="20% - Énfasis1 3" xfId="72"/>
    <cellStyle name="20% - Énfasis1 4" xfId="73"/>
    <cellStyle name="20% - Énfasis2" xfId="2" builtinId="34" customBuiltin="1"/>
    <cellStyle name="20% - Énfasis2 2" xfId="74"/>
    <cellStyle name="20% - Énfasis2 3" xfId="75"/>
    <cellStyle name="20% - Énfasis2 4" xfId="76"/>
    <cellStyle name="20% - Énfasis3" xfId="3" builtinId="38" customBuiltin="1"/>
    <cellStyle name="20% - Énfasis3 2" xfId="77"/>
    <cellStyle name="20% - Énfasis3 3" xfId="78"/>
    <cellStyle name="20% - Énfasis3 4" xfId="79"/>
    <cellStyle name="20% - Énfasis4" xfId="4" builtinId="42" customBuiltin="1"/>
    <cellStyle name="20% - Énfasis4 2" xfId="80"/>
    <cellStyle name="20% - Énfasis4 3" xfId="81"/>
    <cellStyle name="20% - Énfasis4 4" xfId="82"/>
    <cellStyle name="20% - Énfasis5" xfId="5" builtinId="46" customBuiltin="1"/>
    <cellStyle name="20% - Énfasis5 2" xfId="83"/>
    <cellStyle name="20% - Énfasis5 3" xfId="84"/>
    <cellStyle name="20% - Énfasis5 4" xfId="85"/>
    <cellStyle name="20% - Énfasis6" xfId="6" builtinId="50" customBuiltin="1"/>
    <cellStyle name="20% - Énfasis6 2" xfId="86"/>
    <cellStyle name="20% - Énfasis6 3" xfId="87"/>
    <cellStyle name="20% - Énfasis6 4" xfId="88"/>
    <cellStyle name="40% - Énfasis1" xfId="7" builtinId="31" customBuiltin="1"/>
    <cellStyle name="40% - Énfasis1 2" xfId="89"/>
    <cellStyle name="40% - Énfasis1 3" xfId="90"/>
    <cellStyle name="40% - Énfasis1 4" xfId="91"/>
    <cellStyle name="40% - Énfasis2" xfId="8" builtinId="35" customBuiltin="1"/>
    <cellStyle name="40% - Énfasis2 2" xfId="92"/>
    <cellStyle name="40% - Énfasis2 3" xfId="93"/>
    <cellStyle name="40% - Énfasis2 4" xfId="94"/>
    <cellStyle name="40% - Énfasis3" xfId="9" builtinId="39" customBuiltin="1"/>
    <cellStyle name="40% - Énfasis3 2" xfId="95"/>
    <cellStyle name="40% - Énfasis3 3" xfId="96"/>
    <cellStyle name="40% - Énfasis3 4" xfId="97"/>
    <cellStyle name="40% - Énfasis4" xfId="10" builtinId="43" customBuiltin="1"/>
    <cellStyle name="40% - Énfasis4 2" xfId="98"/>
    <cellStyle name="40% - Énfasis4 3" xfId="99"/>
    <cellStyle name="40% - Énfasis4 4" xfId="100"/>
    <cellStyle name="40% - Énfasis5" xfId="11" builtinId="47" customBuiltin="1"/>
    <cellStyle name="40% - Énfasis5 2" xfId="101"/>
    <cellStyle name="40% - Énfasis5 3" xfId="102"/>
    <cellStyle name="40% - Énfasis5 4" xfId="103"/>
    <cellStyle name="40% - Énfasis6" xfId="12" builtinId="51" customBuiltin="1"/>
    <cellStyle name="40% - Énfasis6 2" xfId="104"/>
    <cellStyle name="40% - Énfasis6 3" xfId="105"/>
    <cellStyle name="40% - Énfasis6 4" xfId="106"/>
    <cellStyle name="60% - Énfasis1" xfId="13" builtinId="32" customBuiltin="1"/>
    <cellStyle name="60% - Énfasis1 2" xfId="107"/>
    <cellStyle name="60% - Énfasis1 3" xfId="108"/>
    <cellStyle name="60% - Énfasis1 4" xfId="109"/>
    <cellStyle name="60% - Énfasis2" xfId="14" builtinId="36" customBuiltin="1"/>
    <cellStyle name="60% - Énfasis2 2" xfId="110"/>
    <cellStyle name="60% - Énfasis2 3" xfId="111"/>
    <cellStyle name="60% - Énfasis2 4" xfId="112"/>
    <cellStyle name="60% - Énfasis3" xfId="15" builtinId="40" customBuiltin="1"/>
    <cellStyle name="60% - Énfasis3 2" xfId="113"/>
    <cellStyle name="60% - Énfasis3 3" xfId="114"/>
    <cellStyle name="60% - Énfasis3 4" xfId="115"/>
    <cellStyle name="60% - Énfasis4" xfId="16" builtinId="44" customBuiltin="1"/>
    <cellStyle name="60% - Énfasis4 2" xfId="116"/>
    <cellStyle name="60% - Énfasis4 3" xfId="117"/>
    <cellStyle name="60% - Énfasis4 4" xfId="118"/>
    <cellStyle name="60% - Énfasis5" xfId="17" builtinId="48" customBuiltin="1"/>
    <cellStyle name="60% - Énfasis5 2" xfId="119"/>
    <cellStyle name="60% - Énfasis5 3" xfId="120"/>
    <cellStyle name="60% - Énfasis5 4" xfId="121"/>
    <cellStyle name="60% - Énfasis6" xfId="18" builtinId="52" customBuiltin="1"/>
    <cellStyle name="60% - Énfasis6 2" xfId="122"/>
    <cellStyle name="60% - Énfasis6 3" xfId="123"/>
    <cellStyle name="60% - Énfasis6 4" xfId="124"/>
    <cellStyle name="Buena 2" xfId="125"/>
    <cellStyle name="Buena 3" xfId="126"/>
    <cellStyle name="Buena 4" xfId="127"/>
    <cellStyle name="Bueno" xfId="19" builtinId="26" customBuiltin="1"/>
    <cellStyle name="Cálculo" xfId="20" builtinId="22" customBuiltin="1"/>
    <cellStyle name="Cálculo 2" xfId="128"/>
    <cellStyle name="Cálculo 3" xfId="129"/>
    <cellStyle name="Cálculo 4" xfId="130"/>
    <cellStyle name="Celda de comprobación" xfId="21" builtinId="23" customBuiltin="1"/>
    <cellStyle name="Celda de comprobación 2" xfId="131"/>
    <cellStyle name="Celda de comprobación 3" xfId="132"/>
    <cellStyle name="Celda de comprobación 4" xfId="133"/>
    <cellStyle name="Celda vinculada" xfId="22" builtinId="24" customBuiltin="1"/>
    <cellStyle name="Celda vinculada 2" xfId="134"/>
    <cellStyle name="Celda vinculada 3" xfId="135"/>
    <cellStyle name="Celda vinculada 4" xfId="136"/>
    <cellStyle name="Encabezado 1" xfId="64" builtinId="16" customBuiltin="1"/>
    <cellStyle name="Encabezado 4" xfId="23" builtinId="19" customBuiltin="1"/>
    <cellStyle name="Encabezado 4 2" xfId="137"/>
    <cellStyle name="Encabezado 4 3" xfId="138"/>
    <cellStyle name="Encabezado 4 4" xfId="139"/>
    <cellStyle name="Énfasis1" xfId="24" builtinId="29" customBuiltin="1"/>
    <cellStyle name="Énfasis1 2" xfId="140"/>
    <cellStyle name="Énfasis1 3" xfId="141"/>
    <cellStyle name="Énfasis1 4" xfId="142"/>
    <cellStyle name="Énfasis2" xfId="25" builtinId="33" customBuiltin="1"/>
    <cellStyle name="Énfasis2 2" xfId="143"/>
    <cellStyle name="Énfasis2 3" xfId="144"/>
    <cellStyle name="Énfasis2 4" xfId="145"/>
    <cellStyle name="Énfasis3" xfId="26" builtinId="37" customBuiltin="1"/>
    <cellStyle name="Énfasis3 2" xfId="146"/>
    <cellStyle name="Énfasis3 3" xfId="147"/>
    <cellStyle name="Énfasis3 4" xfId="148"/>
    <cellStyle name="Énfasis4" xfId="27" builtinId="41" customBuiltin="1"/>
    <cellStyle name="Énfasis4 2" xfId="149"/>
    <cellStyle name="Énfasis4 3" xfId="150"/>
    <cellStyle name="Énfasis4 4" xfId="151"/>
    <cellStyle name="Énfasis5" xfId="28" builtinId="45" customBuiltin="1"/>
    <cellStyle name="Énfasis5 2" xfId="152"/>
    <cellStyle name="Énfasis5 3" xfId="153"/>
    <cellStyle name="Énfasis5 4" xfId="154"/>
    <cellStyle name="Énfasis6" xfId="29" builtinId="49" customBuiltin="1"/>
    <cellStyle name="Énfasis6 2" xfId="155"/>
    <cellStyle name="Énfasis6 3" xfId="156"/>
    <cellStyle name="Énfasis6 4" xfId="157"/>
    <cellStyle name="Entrada" xfId="30" builtinId="20" customBuiltin="1"/>
    <cellStyle name="Entrada 2" xfId="158"/>
    <cellStyle name="Entrada 3" xfId="159"/>
    <cellStyle name="Entrada 4" xfId="160"/>
    <cellStyle name="Euro" xfId="31"/>
    <cellStyle name="F2" xfId="32"/>
    <cellStyle name="F3" xfId="33"/>
    <cellStyle name="F4" xfId="34"/>
    <cellStyle name="F5" xfId="35"/>
    <cellStyle name="F6" xfId="36"/>
    <cellStyle name="F7" xfId="37"/>
    <cellStyle name="F8" xfId="38"/>
    <cellStyle name="Incorrecto" xfId="39" builtinId="27" customBuiltin="1"/>
    <cellStyle name="Incorrecto 2" xfId="161"/>
    <cellStyle name="Incorrecto 3" xfId="162"/>
    <cellStyle name="Incorrecto 4" xfId="163"/>
    <cellStyle name="Millares" xfId="40" builtinId="3"/>
    <cellStyle name="Millares 2" xfId="41"/>
    <cellStyle name="Millares 2 2" xfId="42"/>
    <cellStyle name="Millares 2 3" xfId="164"/>
    <cellStyle name="Millares 2 3 2" xfId="217"/>
    <cellStyle name="Millares 2 4" xfId="165"/>
    <cellStyle name="Millares 2 5" xfId="215"/>
    <cellStyle name="Millares 2 6" xfId="224"/>
    <cellStyle name="Millares 2 6 2" xfId="229"/>
    <cellStyle name="Millares 3" xfId="43"/>
    <cellStyle name="Millares 3 2" xfId="218"/>
    <cellStyle name="Millares 4" xfId="70"/>
    <cellStyle name="Millares 5" xfId="204"/>
    <cellStyle name="Millares 5 2" xfId="210"/>
    <cellStyle name="Millares 6" xfId="212"/>
    <cellStyle name="Millares 7" xfId="220"/>
    <cellStyle name="Millares 8" xfId="232"/>
    <cellStyle name="Neutral" xfId="44" builtinId="28" customBuiltin="1"/>
    <cellStyle name="Neutral 2" xfId="166"/>
    <cellStyle name="Neutral 3" xfId="167"/>
    <cellStyle name="Neutral 4" xfId="168"/>
    <cellStyle name="Normal" xfId="0" builtinId="0"/>
    <cellStyle name="Normal 10" xfId="213"/>
    <cellStyle name="Normal 11" xfId="221"/>
    <cellStyle name="Normal 11 2" xfId="226"/>
    <cellStyle name="Normal 12" xfId="230"/>
    <cellStyle name="Normal 2" xfId="45"/>
    <cellStyle name="Normal 2 2" xfId="46"/>
    <cellStyle name="Normal 2 3" xfId="169"/>
    <cellStyle name="Normal 2 3 2" xfId="170"/>
    <cellStyle name="Normal 2 4" xfId="171"/>
    <cellStyle name="Normal 2 5" xfId="205"/>
    <cellStyle name="Normal 2 6" xfId="206"/>
    <cellStyle name="Normal 2 7" xfId="207"/>
    <cellStyle name="Normal 2 8" xfId="214"/>
    <cellStyle name="Normal 3" xfId="47"/>
    <cellStyle name="Normal 3 2" xfId="48"/>
    <cellStyle name="Normal 3 2 2" xfId="219"/>
    <cellStyle name="Normal 3 3" xfId="172"/>
    <cellStyle name="Normal 4" xfId="49"/>
    <cellStyle name="Normal 43" xfId="225"/>
    <cellStyle name="Normal 5" xfId="68"/>
    <cellStyle name="Normal 5 2" xfId="173"/>
    <cellStyle name="Normal 5 3" xfId="208"/>
    <cellStyle name="Normal 6" xfId="174"/>
    <cellStyle name="Normal 7" xfId="203"/>
    <cellStyle name="Normal 7 2" xfId="209"/>
    <cellStyle name="Normal 8" xfId="202"/>
    <cellStyle name="Normal 8 2" xfId="223"/>
    <cellStyle name="Normal 8 2 2" xfId="228"/>
    <cellStyle name="Normal 8 2 3" xfId="233"/>
    <cellStyle name="Normal 9" xfId="211"/>
    <cellStyle name="Notas" xfId="50" builtinId="10" customBuiltin="1"/>
    <cellStyle name="Notas 2" xfId="175"/>
    <cellStyle name="Notas 3" xfId="176"/>
    <cellStyle name="Notas 4" xfId="177"/>
    <cellStyle name="Output Amounts" xfId="51"/>
    <cellStyle name="Output Column Headings" xfId="52"/>
    <cellStyle name="Output Line Items" xfId="53"/>
    <cellStyle name="Output Report Heading" xfId="54"/>
    <cellStyle name="Output Report Title" xfId="55"/>
    <cellStyle name="Porcentaje" xfId="56" builtinId="5"/>
    <cellStyle name="Porcentaje 2" xfId="57"/>
    <cellStyle name="Porcentaje 2 2" xfId="216"/>
    <cellStyle name="Porcentaje 3" xfId="222"/>
    <cellStyle name="Porcentaje 3 2" xfId="227"/>
    <cellStyle name="Porcentaje 4" xfId="231"/>
    <cellStyle name="Porcentual 2" xfId="58"/>
    <cellStyle name="Porcentual 3" xfId="59"/>
    <cellStyle name="Porcentual 4" xfId="69"/>
    <cellStyle name="Salida" xfId="60" builtinId="21" customBuiltin="1"/>
    <cellStyle name="Salida 2" xfId="178"/>
    <cellStyle name="Salida 3" xfId="179"/>
    <cellStyle name="Salida 4" xfId="180"/>
    <cellStyle name="Texto de advertencia" xfId="61" builtinId="11" customBuiltin="1"/>
    <cellStyle name="Texto de advertencia 2" xfId="181"/>
    <cellStyle name="Texto de advertencia 3" xfId="182"/>
    <cellStyle name="Texto de advertencia 4" xfId="183"/>
    <cellStyle name="Texto explicativo" xfId="62" builtinId="53" customBuiltin="1"/>
    <cellStyle name="Texto explicativo 2" xfId="184"/>
    <cellStyle name="Texto explicativo 3" xfId="185"/>
    <cellStyle name="Texto explicativo 4" xfId="186"/>
    <cellStyle name="Título" xfId="63" builtinId="15" customBuiltin="1"/>
    <cellStyle name="Título 1 2" xfId="187"/>
    <cellStyle name="Título 1 3" xfId="188"/>
    <cellStyle name="Título 1 4" xfId="189"/>
    <cellStyle name="Título 2" xfId="65" builtinId="17" customBuiltin="1"/>
    <cellStyle name="Título 2 2" xfId="190"/>
    <cellStyle name="Título 2 3" xfId="191"/>
    <cellStyle name="Título 2 4" xfId="192"/>
    <cellStyle name="Título 3" xfId="66" builtinId="18" customBuiltin="1"/>
    <cellStyle name="Título 3 2" xfId="193"/>
    <cellStyle name="Título 3 3" xfId="194"/>
    <cellStyle name="Título 3 4" xfId="195"/>
    <cellStyle name="Título 4" xfId="196"/>
    <cellStyle name="Título 5" xfId="197"/>
    <cellStyle name="Título 6" xfId="198"/>
    <cellStyle name="Total" xfId="67" builtinId="25" customBuiltin="1"/>
    <cellStyle name="Total 2" xfId="199"/>
    <cellStyle name="Total 3" xfId="200"/>
    <cellStyle name="Total 4" xfId="201"/>
  </cellStyles>
  <dxfs count="115">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ill>
        <patternFill>
          <bgColor rgb="FFFFC000"/>
        </patternFill>
      </fill>
    </dxf>
    <dxf>
      <fill>
        <patternFill>
          <bgColor rgb="FFFFC000"/>
        </patternFill>
      </fil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ill>
        <patternFill>
          <bgColor theme="3" tint="0.59996337778862885"/>
        </patternFill>
      </fill>
    </dxf>
    <dxf>
      <numFmt numFmtId="1" formatCode="0"/>
    </dxf>
    <dxf>
      <numFmt numFmtId="1" formatCode="0"/>
    </dxf>
    <dxf>
      <numFmt numFmtId="1" formatCode="0"/>
    </dxf>
    <dxf>
      <numFmt numFmtId="1" formatCode="0"/>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sharedStrings" Target="sharedStrings.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22</xdr:row>
      <xdr:rowOff>104776</xdr:rowOff>
    </xdr:from>
    <xdr:to>
      <xdr:col>12</xdr:col>
      <xdr:colOff>0</xdr:colOff>
      <xdr:row>30</xdr:row>
      <xdr:rowOff>66676</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323850" y="4276726"/>
          <a:ext cx="5800725" cy="1257300"/>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1100"/>
            </a:lnSpc>
            <a:defRPr sz="1000"/>
          </a:pPr>
          <a:r>
            <a:rPr lang="es-PA" sz="1000" b="0" i="0" strike="noStrike">
              <a:solidFill>
                <a:srgbClr val="000000"/>
              </a:solidFill>
              <a:latin typeface="Arial"/>
              <a:cs typeface="Arial"/>
            </a:rPr>
            <a:t>Cargo</a:t>
          </a:r>
          <a:r>
            <a:rPr lang="es-PA" sz="1000" b="0" i="0" strike="noStrike" baseline="-25000">
              <a:solidFill>
                <a:srgbClr val="000000"/>
              </a:solidFill>
              <a:latin typeface="Arial"/>
              <a:cs typeface="Arial"/>
            </a:rPr>
            <a:t>ii </a:t>
          </a:r>
          <a:r>
            <a:rPr lang="es-PA" sz="1000" b="0" i="0" strike="noStrike">
              <a:solidFill>
                <a:srgbClr val="000000"/>
              </a:solidFill>
              <a:latin typeface="Arial"/>
              <a:cs typeface="Arial"/>
            </a:rPr>
            <a:t>= [(0.33 + 0.67 (IPC</a:t>
          </a:r>
          <a:r>
            <a:rPr lang="es-PA" sz="1000" b="0" i="0" strike="noStrike" baseline="-25000">
              <a:solidFill>
                <a:srgbClr val="000000"/>
              </a:solidFill>
              <a:latin typeface="Arial"/>
              <a:cs typeface="Arial"/>
            </a:rPr>
            <a:t>i</a:t>
          </a:r>
          <a:r>
            <a:rPr lang="es-PA" sz="1000" b="0" i="0" strike="noStrike">
              <a:solidFill>
                <a:srgbClr val="000000"/>
              </a:solidFill>
              <a:latin typeface="Arial"/>
              <a:cs typeface="Arial"/>
            </a:rPr>
            <a:t>/IPC</a:t>
          </a:r>
          <a:r>
            <a:rPr lang="es-PA" sz="1000" b="0" i="0" strike="noStrike" baseline="-25000">
              <a:solidFill>
                <a:srgbClr val="000000"/>
              </a:solidFill>
              <a:latin typeface="Arial"/>
              <a:cs typeface="Arial"/>
            </a:rPr>
            <a:t>0</a:t>
          </a:r>
          <a:r>
            <a:rPr lang="es-PA" sz="1000" b="0" i="0" strike="noStrike">
              <a:solidFill>
                <a:srgbClr val="000000"/>
              </a:solidFill>
              <a:latin typeface="Arial"/>
              <a:cs typeface="Arial"/>
            </a:rPr>
            <a:t>)]* Cargoi</a:t>
          </a:r>
          <a:r>
            <a:rPr lang="es-PA" sz="1000" b="0" i="0" strike="noStrike" baseline="-25000">
              <a:solidFill>
                <a:srgbClr val="000000"/>
              </a:solidFill>
              <a:latin typeface="Arial"/>
              <a:cs typeface="Arial"/>
            </a:rPr>
            <a:t>0</a:t>
          </a:r>
          <a:endParaRPr lang="es-PA" sz="1000" b="0" i="0" strike="noStrike">
            <a:solidFill>
              <a:srgbClr val="000000"/>
            </a:solidFill>
            <a:latin typeface="Arial"/>
            <a:cs typeface="Arial"/>
          </a:endParaRPr>
        </a:p>
        <a:p>
          <a:pPr algn="l" rtl="0">
            <a:lnSpc>
              <a:spcPts val="1100"/>
            </a:lnSpc>
            <a:defRPr sz="1000"/>
          </a:pPr>
          <a:r>
            <a:rPr lang="es-PA" sz="1000" b="0" i="0" strike="noStrike">
              <a:solidFill>
                <a:srgbClr val="000000"/>
              </a:solidFill>
              <a:latin typeface="Arial"/>
              <a:cs typeface="Arial"/>
            </a:rPr>
            <a:t>Donde:</a:t>
          </a:r>
        </a:p>
        <a:p>
          <a:pPr algn="l" rtl="0">
            <a:lnSpc>
              <a:spcPts val="1100"/>
            </a:lnSpc>
            <a:defRPr sz="1000"/>
          </a:pPr>
          <a:r>
            <a:rPr lang="es-PA" sz="1000" b="0" i="0" strike="noStrike">
              <a:solidFill>
                <a:srgbClr val="000000"/>
              </a:solidFill>
              <a:latin typeface="Arial"/>
              <a:cs typeface="Arial"/>
            </a:rPr>
            <a:t>Cargoi</a:t>
          </a:r>
          <a:r>
            <a:rPr lang="es-PA" sz="1000" b="0" i="0" strike="noStrike" baseline="-25000">
              <a:solidFill>
                <a:srgbClr val="000000"/>
              </a:solidFill>
              <a:latin typeface="Arial"/>
              <a:cs typeface="Arial"/>
            </a:rPr>
            <a:t>0</a:t>
          </a:r>
          <a:r>
            <a:rPr lang="es-PA" sz="1000" b="0" i="0" strike="noStrike">
              <a:solidFill>
                <a:srgbClr val="000000"/>
              </a:solidFill>
              <a:latin typeface="Arial"/>
              <a:cs typeface="Arial"/>
            </a:rPr>
            <a:t>: es el cargo tarifario determinado a la fecha base de cálculo para el año i.</a:t>
          </a:r>
        </a:p>
        <a:p>
          <a:pPr algn="l" rtl="0">
            <a:lnSpc>
              <a:spcPts val="1100"/>
            </a:lnSpc>
            <a:defRPr sz="1000"/>
          </a:pPr>
          <a:r>
            <a:rPr lang="es-PA" sz="1000" b="0" i="0" strike="noStrike">
              <a:solidFill>
                <a:srgbClr val="000000"/>
              </a:solidFill>
              <a:latin typeface="Arial"/>
              <a:cs typeface="Arial"/>
            </a:rPr>
            <a:t>Cargoii: es el cargo tarifario para el año i actualizado al año i.</a:t>
          </a:r>
        </a:p>
        <a:p>
          <a:pPr algn="l" rtl="0">
            <a:lnSpc>
              <a:spcPts val="1100"/>
            </a:lnSpc>
            <a:defRPr sz="1000"/>
          </a:pPr>
          <a:r>
            <a:rPr lang="es-PA" sz="1000" b="0" i="0" strike="noStrike">
              <a:solidFill>
                <a:srgbClr val="000000"/>
              </a:solidFill>
              <a:latin typeface="Arial"/>
              <a:cs typeface="Arial"/>
            </a:rPr>
            <a:t>IPC</a:t>
          </a:r>
          <a:r>
            <a:rPr lang="es-PA" sz="1000" b="0" i="0" strike="noStrike" baseline="-25000">
              <a:solidFill>
                <a:srgbClr val="000000"/>
              </a:solidFill>
              <a:latin typeface="Arial"/>
              <a:cs typeface="Arial"/>
            </a:rPr>
            <a:t>0</a:t>
          </a:r>
          <a:r>
            <a:rPr lang="es-PA" sz="1000" b="0" i="0" strike="noStrike">
              <a:solidFill>
                <a:srgbClr val="000000"/>
              </a:solidFill>
              <a:latin typeface="Arial"/>
              <a:cs typeface="Arial"/>
            </a:rPr>
            <a:t>: es Índice de Precios al Consumidor a la </a:t>
          </a:r>
          <a:r>
            <a:rPr lang="es-PA" sz="1000" b="1" i="0" u="sng" strike="noStrike">
              <a:solidFill>
                <a:srgbClr val="000000"/>
              </a:solidFill>
              <a:latin typeface="Arial"/>
              <a:cs typeface="Arial"/>
            </a:rPr>
            <a:t>fecha base de cálculo</a:t>
          </a:r>
          <a:r>
            <a:rPr lang="es-PA" sz="1000" b="0" i="0" strike="noStrike">
              <a:solidFill>
                <a:srgbClr val="000000"/>
              </a:solidFill>
              <a:latin typeface="Arial"/>
              <a:cs typeface="Arial"/>
            </a:rPr>
            <a:t>, publicado por la Contraloría General de la República.</a:t>
          </a:r>
        </a:p>
        <a:p>
          <a:pPr algn="l" rtl="0">
            <a:defRPr sz="1000"/>
          </a:pPr>
          <a:r>
            <a:rPr lang="es-PA" sz="1000" b="0" i="0" strike="noStrike">
              <a:solidFill>
                <a:srgbClr val="000000"/>
              </a:solidFill>
              <a:latin typeface="Arial"/>
              <a:cs typeface="Arial"/>
            </a:rPr>
            <a:t>IPC</a:t>
          </a:r>
          <a:r>
            <a:rPr lang="es-PA" sz="1000" b="0" i="0" strike="noStrike" baseline="-25000">
              <a:solidFill>
                <a:srgbClr val="000000"/>
              </a:solidFill>
              <a:latin typeface="Arial"/>
              <a:cs typeface="Arial"/>
            </a:rPr>
            <a:t>i</a:t>
          </a:r>
          <a:r>
            <a:rPr lang="es-PA" sz="1000" b="0" i="0" strike="noStrike">
              <a:solidFill>
                <a:srgbClr val="000000"/>
              </a:solidFill>
              <a:latin typeface="Arial"/>
              <a:cs typeface="Arial"/>
            </a:rPr>
            <a:t>: es Índice de Precios al Consumidor a </a:t>
          </a:r>
          <a:r>
            <a:rPr lang="es-PA" sz="1000" b="1" i="0" u="sng" strike="noStrike">
              <a:solidFill>
                <a:srgbClr val="000000"/>
              </a:solidFill>
              <a:latin typeface="Arial"/>
              <a:cs typeface="Arial"/>
            </a:rPr>
            <a:t>Diciembre del año i-1</a:t>
          </a:r>
          <a:r>
            <a:rPr lang="es-PA" sz="1000" b="0" i="0" strike="noStrike">
              <a:solidFill>
                <a:srgbClr val="000000"/>
              </a:solidFill>
              <a:latin typeface="Arial"/>
              <a:cs typeface="Arial"/>
            </a:rPr>
            <a:t>, publicado por la Contraloría General de la República.</a:t>
          </a:r>
        </a:p>
        <a:p>
          <a:pPr algn="l" rtl="0">
            <a:defRPr sz="1000"/>
          </a:pPr>
          <a:endParaRPr lang="es-PA" sz="1000" b="0" i="0" strike="noStrike">
            <a:solidFill>
              <a:srgbClr val="000000"/>
            </a:solidFill>
            <a:latin typeface="Arial"/>
            <a:cs typeface="Arial"/>
          </a:endParaRPr>
        </a:p>
      </xdr:txBody>
    </xdr:sp>
    <xdr:clientData/>
  </xdr:twoCellAnchor>
  <xdr:twoCellAnchor editAs="oneCell">
    <xdr:from>
      <xdr:col>7</xdr:col>
      <xdr:colOff>38100</xdr:colOff>
      <xdr:row>30</xdr:row>
      <xdr:rowOff>47625</xdr:rowOff>
    </xdr:from>
    <xdr:to>
      <xdr:col>14</xdr:col>
      <xdr:colOff>180975</xdr:colOff>
      <xdr:row>40</xdr:row>
      <xdr:rowOff>19050</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9925" y="5514975"/>
          <a:ext cx="4619625"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dromeda\Planeamiento\ETESA\Pronosticos%20de%20Demanda\Pronosticos%20de%20Demanda%202007%20MRN\PIB-2006-EstimadoMR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lejandro/Revicoes%20tarif&#225;rias/PA/M0755-03Panam&#225;Transmisi&#243;n2003/Informes/Fase%20IVIMP/Modelo%20Tarifas%20Transmisi&#243;n%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lejandro\Revicoes%20tarif&#225;rias\PA\M0755-03Panam&#225;Transmisi&#243;n2003\Informes\Fase%20IVIMP\Modelo%20Tarifas%20Transmisi&#243;n%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lejandro\Revicoes%20tarif&#225;rias\PA\M0755-03Panam&#225;Transmisi&#243;n2003\Informes\Fase%20IVIMP\Modelo%20Tarifas%20Transmisi&#243;n%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liego%20Tarifario%20(2009-2013)%20Final%20entragado%20a%20ASEP%20-%2012%20agosto/2.%20Cargos%20por%20Conexi&#243;n/Cargos%20por%20Conexi&#243;n%202009-2013%20ASEP%20agost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jmedina\Desktop\pedidos\pliego%20tarifario\A&#241;o%20tarifario%202021%202025%20Jorge%20MARzo%202023\IMP%20ETESA%202021-2025%20vf%20post%20consult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laneamiento/Documents%20and%20Settings/mrivera/Mis%20documentos/TARIFAS%20DE%20TRANSMISION/R&#233;gimen%202005-2009/IMP/IMP%202005-09%20(FINAL%20post%20consulta%20p&#250;blica)+MR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ndromeda\planeamiento\Documents%20and%20Settings\mrivera\Mis%20documentos\TARIFAS%20DE%20TRANSMISION\R&#233;gimen%202005-2009\IMP\IMP%202005-09%20(FINAL%20post%20consulta%20p&#250;blica)+MR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eperez/Mis%20documentos/ACTUALIZACION%20A&#209;O%202%20%202009-2013/IMP%202009%20-%202013/IMP%20RESOLUCION%202820%20FECHA%20DE%20PROYECTO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eperez/AppData/Local/Microsoft/Windows/Temporary%20Internet%20Files/Content.Outlook/J3CWPSPJ/CUSPT%20(PLANTILLAS%20FINALES)/CUSPT_AT4(final)/1.%20DatosFijo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eperez/AppData/Local/Microsoft/Windows/Temporary%20Internet%20Files/Content.Outlook/J3CWPSPJ/CUSPT%20(PLANTILLAS%20FINALES)/CUSPT_AT3(final)/1.%20DatosFijo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IB-2009-Estimado%20CCB.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eperez/AppData/Local/Microsoft/Windows/Temporary%20Internet%20Files/Content.Outlook/J3CWPSPJ/CUSPT%20(PLANTILLAS%20FINALES)/CUSPT_AT2(final)/1.%20DatosFij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eperez/AppData/Local/Microsoft/Windows/Temporary%20Internet%20Files/Content.Outlook/J3CWPSPJ/CUSPT%20(PLANTILLAS%20FINALES)/CUSPT_AT1(final)/1.%20DatosFijo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Copia%20de%20COBRADO%20JUL-DIC%202013%20CX.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ehernandezc/AppData/Local/Microsoft/Windows/Temporary%20Internet%20Files/Content.Outlook/X3J326BG/imp_etesa_20132017%20semestral%20postrecurso%20de%20reconsideraci&#243;n%2021%20de%20ener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jmedina\Desktop\calculo%20de%20tarifas\JUNIO\1.%20CARGOS%20CUSPT%20REALES%202021-2022\2.%20DatosFijos_actualizado%20desde%20el%20mes%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lvega\Desktop\2-PLIEGO%20TARIFARIO%202021-2025\1.%20CARGOS%20CUSPT\A&#209;O%201\1.%20DatosFijo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jmedina\Desktop\calculo%20de%20tarifas\JUNIO\1.%20CARGOS%20CUSPT%20REALES%202021-2022\resumen%20DMNC%20DR%20-%20AT1%202021-202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eperez\Desktop\IMP_ETESA_2013%202017%20Actualizacion%20Nota%20018%20Recibido%20ASEP%20FINAL%20269%208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dromeda\Planeamiento\ETESA\Gerencia%20de%20Planeamiento%20%20de%20Inversiones\Pronosticos%20de%20Demanda\Pronosticos%20de%20Demanda%202014-2028\Proyecciones%20de%20PIB\PIB-2014-Estimado%20CC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omeda\Planeamiento\ETESA\Gerencia%20de%20Planeamiento%20%20de%20Inversiones\Pronosticos%20de%20Demanda\Pronosticos%20de%20Demanda%202014-2028\Proyecciones%20de%20PIB\PIB-2014-Estimado%20CC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medina\AppData\Local\Microsoft\Windows\INetCache\Content.Outlook\1OVVFS5Q\1-modelo_calculo_etes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ocuments%20and%20Settings\Mrivera\Mis%20documentos\TARIFAS%20DE%20TRANSMISION\R&#233;gimen%202005-2009\IMP\IMP%202005-09%20(FINAL%20post%20consulta%20p&#250;blica)+MR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Mrivera/Mis%20documentos/TARIFAS%20DE%20TRANSMISION/R&#233;gimen%202005-2009/IMP/IMP%202005-09%20(FINAL%20post%20consulta%20p&#250;blica)+MR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Mrivera\Mis%20documentos\TARIFAS%20DE%20TRANSMISION\R&#233;gimen%202005-2009\IMP\IMP%202005-09%20(FINAL%20post%20consulta%20p&#250;blica)+MR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Mrivera\Mis%20documentos\TARIFAS%20DE%20TRANSMISION\R&#233;gimen%202005-2009\IMP\IMP%202005-09%20(FINAL%20post%20consulta%20p&#250;blica)+MR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a-Algunos indicadores"/>
      <sheetName val="PIB 2006, tres metodologías"/>
      <sheetName val="Verificación de Estructura %"/>
      <sheetName val="Evalua Estimado 2005"/>
      <sheetName val="2001-2005-Contraloría"/>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T"/>
      <sheetName val="IPSPT"/>
      <sheetName val="IPCT"/>
      <sheetName val="ACTIVOS"/>
      <sheetName val="VNR"/>
      <sheetName val="ADMT%-OMT%"/>
      <sheetName val="RRT"/>
      <sheetName val="CND"/>
      <sheetName val="Hidromet."/>
    </sheetNames>
    <sheetDataSet>
      <sheetData sheetId="0" refreshError="1"/>
      <sheetData sheetId="1" refreshError="1"/>
      <sheetData sheetId="2" refreshError="1"/>
      <sheetData sheetId="3" refreshError="1"/>
      <sheetData sheetId="4"/>
      <sheetData sheetId="5" refreshError="1"/>
      <sheetData sheetId="6">
        <row r="14">
          <cell r="D14">
            <v>7.85E-2</v>
          </cell>
        </row>
      </sheetData>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T"/>
      <sheetName val="IPSPT"/>
      <sheetName val="IPCT"/>
      <sheetName val="ACTIVOS"/>
      <sheetName val="VNR"/>
      <sheetName val="ADMT%-OMT%"/>
      <sheetName val="RRT"/>
      <sheetName val="CND"/>
      <sheetName val="Hidromet."/>
    </sheetNames>
    <sheetDataSet>
      <sheetData sheetId="0" refreshError="1"/>
      <sheetData sheetId="1" refreshError="1"/>
      <sheetData sheetId="2" refreshError="1"/>
      <sheetData sheetId="3" refreshError="1"/>
      <sheetData sheetId="4"/>
      <sheetData sheetId="5" refreshError="1"/>
      <sheetData sheetId="6">
        <row r="14">
          <cell r="D14">
            <v>7.85E-2</v>
          </cell>
        </row>
      </sheetData>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T"/>
      <sheetName val="IPSPT"/>
      <sheetName val="IPCT"/>
      <sheetName val="ACTIVOS"/>
      <sheetName val="VNR"/>
      <sheetName val="ADMT%-OMT%"/>
      <sheetName val="RRT"/>
      <sheetName val="CND"/>
      <sheetName val="Hidromet."/>
    </sheetNames>
    <sheetDataSet>
      <sheetData sheetId="0" refreshError="1"/>
      <sheetData sheetId="1" refreshError="1"/>
      <sheetData sheetId="2" refreshError="1"/>
      <sheetData sheetId="3" refreshError="1"/>
      <sheetData sheetId="4"/>
      <sheetData sheetId="5" refreshError="1"/>
      <sheetData sheetId="6">
        <row r="14">
          <cell r="D14">
            <v>7.85E-2</v>
          </cell>
        </row>
      </sheetData>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X cxj  "/>
      <sheetName val=" VNR2007"/>
      <sheetName val="SALIDAS Y TRANSFORMACION"/>
      <sheetName val="N de Instalaciones"/>
      <sheetName val="IMP"/>
      <sheetName val="IPCT"/>
      <sheetName val="IPCT vnr"/>
      <sheetName val="FA"/>
      <sheetName val="CX cxj  expansión condicion"/>
      <sheetName val="VERIFICACIÓN DE INGRESOS"/>
      <sheetName val="Parámetros de eficiencia"/>
      <sheetName val="S-E Charco Azul trafo"/>
      <sheetName val="S-E CHORRERA 230"/>
      <sheetName val="S-E CHORRERA trafo"/>
      <sheetName val="S-E CHORRERA 34"/>
      <sheetName val="S-E Charco azul 115"/>
      <sheetName val="S-E LL SANCHEZ 115"/>
      <sheetName val="S-E LL SANCHEZ trafo"/>
      <sheetName val="S-E PROGRESO 115"/>
      <sheetName val="S-E PROGRESO 34"/>
      <sheetName val="S-E MATA DE NANCE 34"/>
      <sheetName val="S-E LL SANCHEZ 34"/>
      <sheetName val="TEXTO"/>
    </sheetNames>
    <sheetDataSet>
      <sheetData sheetId="0"/>
      <sheetData sheetId="1"/>
      <sheetData sheetId="2"/>
      <sheetData sheetId="3"/>
      <sheetData sheetId="4"/>
      <sheetData sheetId="5"/>
      <sheetData sheetId="6">
        <row r="14">
          <cell r="C14">
            <v>0.1071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Existente"/>
      <sheetName val="Factor ajuste"/>
      <sheetName val="IMPA Indicativo"/>
      <sheetName val="Sensibilidad"/>
      <sheetName val="Activos Reconocidos"/>
      <sheetName val="Tasa de Depreciación"/>
      <sheetName val="Base de Capital"/>
      <sheetName val="OMT%_ADMT%"/>
      <sheetName val="VNR Lin "/>
      <sheetName val=" VNR Sub"/>
      <sheetName val="Plan de Expansión"/>
      <sheetName val="Hoja1"/>
      <sheetName val="Adiciones"/>
      <sheetName val="CND"/>
      <sheetName val="CTPR"/>
      <sheetName val="Tercera Línea"/>
      <sheetName val="Bienes e Instalaciones 31_12_20"/>
      <sheetName val="Base ETESA"/>
      <sheetName val="Datos comparadoras"/>
      <sheetName val="Transelec"/>
      <sheetName val="ISA Perú"/>
      <sheetName val="Ratios comparadores"/>
      <sheetName val="Cuadro Informe"/>
    </sheetNames>
    <sheetDataSet>
      <sheetData sheetId="0"/>
      <sheetData sheetId="1">
        <row r="8">
          <cell r="I8">
            <v>0.99638189432240065</v>
          </cell>
        </row>
      </sheetData>
      <sheetData sheetId="2"/>
      <sheetData sheetId="3">
        <row r="6">
          <cell r="B6">
            <v>7.2999999999999995E-2</v>
          </cell>
        </row>
        <row r="7">
          <cell r="B7">
            <v>3.3385882564188139E-2</v>
          </cell>
        </row>
      </sheetData>
      <sheetData sheetId="4">
        <row r="57">
          <cell r="C57">
            <v>218884889.84630552</v>
          </cell>
          <cell r="D57">
            <v>201460154.33572313</v>
          </cell>
          <cell r="E57">
            <v>184035418.82514074</v>
          </cell>
          <cell r="F57">
            <v>166610683.31455836</v>
          </cell>
          <cell r="G57">
            <v>149185947.80397597</v>
          </cell>
          <cell r="H57">
            <v>131761212.29339361</v>
          </cell>
        </row>
        <row r="58">
          <cell r="D58">
            <v>-17424735.510582373</v>
          </cell>
          <cell r="E58">
            <v>-17424735.510582373</v>
          </cell>
          <cell r="F58">
            <v>-17424735.510582373</v>
          </cell>
          <cell r="G58">
            <v>-17424735.510582373</v>
          </cell>
          <cell r="H58">
            <v>-17424735.510582373</v>
          </cell>
        </row>
        <row r="59">
          <cell r="C59">
            <v>471345239.46403384</v>
          </cell>
          <cell r="D59">
            <v>471345239.46403384</v>
          </cell>
          <cell r="E59">
            <v>471345239.46403384</v>
          </cell>
          <cell r="F59">
            <v>471345239.46403384</v>
          </cell>
          <cell r="G59">
            <v>471345239.46403384</v>
          </cell>
          <cell r="H59">
            <v>471345239.46403384</v>
          </cell>
        </row>
        <row r="61">
          <cell r="C61">
            <v>353227100.755</v>
          </cell>
          <cell r="D61">
            <v>340342982.2073043</v>
          </cell>
          <cell r="E61">
            <v>327458863.6596086</v>
          </cell>
          <cell r="F61">
            <v>314574745.11191285</v>
          </cell>
          <cell r="G61">
            <v>301690626.56421715</v>
          </cell>
          <cell r="H61">
            <v>288806508.01652145</v>
          </cell>
        </row>
        <row r="62">
          <cell r="D62">
            <v>-12884118.547695713</v>
          </cell>
          <cell r="E62">
            <v>-12884118.547695713</v>
          </cell>
          <cell r="F62">
            <v>-12884118.547695713</v>
          </cell>
          <cell r="G62">
            <v>-12884118.547695713</v>
          </cell>
          <cell r="H62">
            <v>-12884118.547695713</v>
          </cell>
        </row>
        <row r="63">
          <cell r="C63">
            <v>385915170.06999999</v>
          </cell>
          <cell r="D63">
            <v>385915170.06999999</v>
          </cell>
          <cell r="E63">
            <v>385915170.06999999</v>
          </cell>
          <cell r="F63">
            <v>385915170.06999999</v>
          </cell>
          <cell r="G63">
            <v>385915170.06999999</v>
          </cell>
          <cell r="H63">
            <v>385915170.06999999</v>
          </cell>
        </row>
        <row r="177">
          <cell r="C177">
            <v>35641389.774999999</v>
          </cell>
          <cell r="D177">
            <v>55973129.524999999</v>
          </cell>
          <cell r="E177">
            <v>110722129.52500001</v>
          </cell>
          <cell r="F177">
            <v>112722129.52500001</v>
          </cell>
          <cell r="G177">
            <v>124293129.52500001</v>
          </cell>
          <cell r="H177">
            <v>124293129.52500001</v>
          </cell>
        </row>
        <row r="178">
          <cell r="C178">
            <v>18318397.705000002</v>
          </cell>
          <cell r="D178">
            <v>37745330.081975602</v>
          </cell>
          <cell r="E178">
            <v>90910729.633332074</v>
          </cell>
          <cell r="F178">
            <v>89499285.500181794</v>
          </cell>
          <cell r="G178">
            <v>97592069.601903141</v>
          </cell>
          <cell r="H178">
            <v>93727545.656474262</v>
          </cell>
        </row>
        <row r="179">
          <cell r="D179">
            <v>-904807.37302440149</v>
          </cell>
          <cell r="E179">
            <v>-1583600.4486435372</v>
          </cell>
          <cell r="F179">
            <v>-3411444.1331502739</v>
          </cell>
          <cell r="G179">
            <v>-3478215.8982786499</v>
          </cell>
          <cell r="H179">
            <v>-3864523.9454288715</v>
          </cell>
        </row>
        <row r="186">
          <cell r="C186">
            <v>779169877.37461758</v>
          </cell>
          <cell r="D186">
            <v>779169877.37461758</v>
          </cell>
          <cell r="E186">
            <v>779169877.37461758</v>
          </cell>
          <cell r="F186">
            <v>779169877.37461758</v>
          </cell>
          <cell r="G186">
            <v>779169877.37461758</v>
          </cell>
          <cell r="H186">
            <v>779169877.37461758</v>
          </cell>
        </row>
        <row r="187">
          <cell r="C187">
            <v>209796578.26653475</v>
          </cell>
          <cell r="D187">
            <v>209796578.26653475</v>
          </cell>
          <cell r="E187">
            <v>209796578.26653475</v>
          </cell>
          <cell r="F187">
            <v>209796578.26653475</v>
          </cell>
          <cell r="G187">
            <v>209796578.26653475</v>
          </cell>
          <cell r="H187">
            <v>209796578.26653475</v>
          </cell>
        </row>
        <row r="188">
          <cell r="C188">
            <v>67033222.282850623</v>
          </cell>
          <cell r="D188">
            <v>67033222.282850623</v>
          </cell>
          <cell r="E188">
            <v>67033222.282850623</v>
          </cell>
          <cell r="F188">
            <v>67033222.282850623</v>
          </cell>
          <cell r="G188">
            <v>67033222.282850623</v>
          </cell>
          <cell r="H188">
            <v>67033222.282850623</v>
          </cell>
        </row>
        <row r="189">
          <cell r="C189">
            <v>0</v>
          </cell>
          <cell r="D189">
            <v>0</v>
          </cell>
          <cell r="E189">
            <v>0</v>
          </cell>
          <cell r="F189">
            <v>0</v>
          </cell>
          <cell r="G189">
            <v>0</v>
          </cell>
          <cell r="H189">
            <v>0</v>
          </cell>
        </row>
        <row r="190">
          <cell r="C190">
            <v>110834096.52639033</v>
          </cell>
          <cell r="D190">
            <v>131165836.27639033</v>
          </cell>
          <cell r="E190">
            <v>185914836.27639031</v>
          </cell>
          <cell r="F190">
            <v>187914836.27639031</v>
          </cell>
          <cell r="G190">
            <v>199485836.27639031</v>
          </cell>
          <cell r="H190">
            <v>199485836.27639031</v>
          </cell>
        </row>
        <row r="250">
          <cell r="C250"/>
          <cell r="D250">
            <v>0</v>
          </cell>
          <cell r="E250">
            <v>0</v>
          </cell>
          <cell r="F250">
            <v>0</v>
          </cell>
          <cell r="G250">
            <v>0</v>
          </cell>
          <cell r="H250">
            <v>0</v>
          </cell>
        </row>
        <row r="253">
          <cell r="C253"/>
          <cell r="D253">
            <v>0</v>
          </cell>
          <cell r="E253">
            <v>0</v>
          </cell>
          <cell r="F253">
            <v>0</v>
          </cell>
          <cell r="G253">
            <v>0</v>
          </cell>
          <cell r="H253">
            <v>0</v>
          </cell>
        </row>
      </sheetData>
      <sheetData sheetId="5"/>
      <sheetData sheetId="6"/>
      <sheetData sheetId="7">
        <row r="13">
          <cell r="G13">
            <v>1.32E-2</v>
          </cell>
        </row>
        <row r="14">
          <cell r="G14">
            <v>1.8700000000000001E-2</v>
          </cell>
        </row>
      </sheetData>
      <sheetData sheetId="8">
        <row r="64">
          <cell r="I64">
            <v>592759843.64811218</v>
          </cell>
        </row>
        <row r="74">
          <cell r="I74">
            <v>7309323.2731987555</v>
          </cell>
        </row>
      </sheetData>
      <sheetData sheetId="9">
        <row r="24">
          <cell r="G24">
            <v>396206611.99304014</v>
          </cell>
        </row>
        <row r="33">
          <cell r="G33">
            <v>40961152.143439174</v>
          </cell>
        </row>
        <row r="45">
          <cell r="H45">
            <v>103524773.25319158</v>
          </cell>
        </row>
      </sheetData>
      <sheetData sheetId="10"/>
      <sheetData sheetId="11"/>
      <sheetData sheetId="12"/>
      <sheetData sheetId="13">
        <row r="24">
          <cell r="D24">
            <v>2885113.750095</v>
          </cell>
          <cell r="E24">
            <v>3755393.8089229995</v>
          </cell>
          <cell r="F24">
            <v>3439093.8677510004</v>
          </cell>
          <cell r="G24">
            <v>4499451.9265790004</v>
          </cell>
          <cell r="H24">
            <v>5758281.9854069995</v>
          </cell>
          <cell r="I24">
            <v>6581537.0442349995</v>
          </cell>
          <cell r="J24">
            <v>5721291.5883559994</v>
          </cell>
          <cell r="K24">
            <v>6446829.1324770004</v>
          </cell>
          <cell r="L24">
            <v>5730119.1324770004</v>
          </cell>
          <cell r="M24"/>
        </row>
      </sheetData>
      <sheetData sheetId="14">
        <row r="9">
          <cell r="F9"/>
          <cell r="G9"/>
          <cell r="H9"/>
          <cell r="I9">
            <v>-6188.872545107246</v>
          </cell>
          <cell r="J9"/>
          <cell r="K9">
            <v>-6188.872545107246</v>
          </cell>
          <cell r="L9"/>
          <cell r="M9">
            <v>-6188.872545107246</v>
          </cell>
          <cell r="N9"/>
        </row>
      </sheetData>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s>
    <sheetDataSet>
      <sheetData sheetId="0"/>
      <sheetData sheetId="1"/>
      <sheetData sheetId="2"/>
      <sheetData sheetId="3"/>
      <sheetData sheetId="4">
        <row r="14">
          <cell r="D14">
            <v>2000.9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s>
    <sheetDataSet>
      <sheetData sheetId="0"/>
      <sheetData sheetId="1">
        <row r="14">
          <cell r="D14">
            <v>2000.9</v>
          </cell>
        </row>
      </sheetData>
      <sheetData sheetId="2"/>
      <sheetData sheetId="3"/>
      <sheetData sheetId="4">
        <row r="14">
          <cell r="D14">
            <v>2000.9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sheetName val="ART. 177"/>
      <sheetName val="EVOLUCIÓN BIENES"/>
      <sheetName val="BIENES 2008"/>
      <sheetName val="ACTIVOS"/>
      <sheetName val="TASA DE DEPRECIACIÓN"/>
      <sheetName val="PLAN EXPANSIÓN"/>
      <sheetName val="PLAN EXPANSIÓN_RES"/>
      <sheetName val="VNR LÍNEAS"/>
      <sheetName val="VNR SE"/>
      <sheetName val="VNR_ RES"/>
      <sheetName val="CND"/>
      <sheetName val="CND SOLICITADO"/>
      <sheetName val="CND AJUSTADO"/>
      <sheetName val="CND AJUSTADO -RES"/>
      <sheetName val="HID"/>
      <sheetName val="HID2"/>
    </sheetNames>
    <sheetDataSet>
      <sheetData sheetId="0">
        <row r="10">
          <cell r="D10">
            <v>0.1071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d"/>
      <sheetName val="Ram"/>
    </sheetNames>
    <sheetDataSet>
      <sheetData sheetId="0"/>
      <sheetData sheetId="1"/>
      <sheetData sheetId="2">
        <row r="4">
          <cell r="D4" t="str">
            <v>Pan-Pan115</v>
          </cell>
          <cell r="G4">
            <v>0</v>
          </cell>
          <cell r="H4">
            <v>350</v>
          </cell>
        </row>
        <row r="5">
          <cell r="D5" t="str">
            <v>Pan-PanII</v>
          </cell>
          <cell r="G5">
            <v>12.94</v>
          </cell>
          <cell r="H5">
            <v>350</v>
          </cell>
        </row>
        <row r="6">
          <cell r="D6" t="str">
            <v>Pan-PanII</v>
          </cell>
          <cell r="G6">
            <v>12.94</v>
          </cell>
          <cell r="H6">
            <v>350</v>
          </cell>
        </row>
        <row r="7">
          <cell r="D7" t="str">
            <v>Pan-Cho</v>
          </cell>
          <cell r="G7">
            <v>39</v>
          </cell>
          <cell r="H7">
            <v>247</v>
          </cell>
        </row>
        <row r="8">
          <cell r="D8" t="str">
            <v>Pan-Cho</v>
          </cell>
          <cell r="G8">
            <v>39</v>
          </cell>
          <cell r="H8">
            <v>247</v>
          </cell>
        </row>
        <row r="9">
          <cell r="D9" t="str">
            <v>Pan-PanIII</v>
          </cell>
          <cell r="G9">
            <v>13</v>
          </cell>
          <cell r="H9">
            <v>400</v>
          </cell>
        </row>
        <row r="10">
          <cell r="D10" t="str">
            <v>Pan-PanIII</v>
          </cell>
          <cell r="G10">
            <v>13</v>
          </cell>
          <cell r="H10">
            <v>400</v>
          </cell>
        </row>
        <row r="11">
          <cell r="D11" t="str">
            <v>Pan-Cac</v>
          </cell>
          <cell r="G11">
            <v>0.8</v>
          </cell>
          <cell r="H11">
            <v>120</v>
          </cell>
        </row>
        <row r="12">
          <cell r="D12" t="str">
            <v>Pan-Cac</v>
          </cell>
          <cell r="G12">
            <v>0.8</v>
          </cell>
          <cell r="H12">
            <v>142</v>
          </cell>
        </row>
        <row r="13">
          <cell r="D13" t="str">
            <v>Pan-Chi</v>
          </cell>
          <cell r="G13">
            <v>22.6</v>
          </cell>
          <cell r="H13">
            <v>203</v>
          </cell>
        </row>
        <row r="14">
          <cell r="D14" t="str">
            <v>Pan-Sma</v>
          </cell>
          <cell r="G14">
            <v>1.4</v>
          </cell>
          <cell r="H14">
            <v>93</v>
          </cell>
        </row>
        <row r="15">
          <cell r="D15" t="str">
            <v>Pan-Cpa</v>
          </cell>
          <cell r="G15">
            <v>39</v>
          </cell>
          <cell r="H15">
            <v>203</v>
          </cell>
        </row>
        <row r="16">
          <cell r="D16" t="str">
            <v>PanII-PanII115</v>
          </cell>
          <cell r="G16">
            <v>0</v>
          </cell>
          <cell r="H16">
            <v>175</v>
          </cell>
        </row>
        <row r="17">
          <cell r="D17" t="str">
            <v>PanII-Pac</v>
          </cell>
          <cell r="G17">
            <v>19</v>
          </cell>
          <cell r="H17">
            <v>186</v>
          </cell>
        </row>
        <row r="18">
          <cell r="D18" t="str">
            <v>PanII-PanIII</v>
          </cell>
          <cell r="G18">
            <v>25.94</v>
          </cell>
          <cell r="H18">
            <v>275</v>
          </cell>
        </row>
        <row r="19">
          <cell r="D19" t="str">
            <v>PanII-PanIII</v>
          </cell>
          <cell r="G19">
            <v>25.94</v>
          </cell>
          <cell r="H19">
            <v>275</v>
          </cell>
        </row>
        <row r="20">
          <cell r="D20" t="str">
            <v>PanII-24Dic</v>
          </cell>
          <cell r="G20">
            <v>9</v>
          </cell>
          <cell r="H20">
            <v>186</v>
          </cell>
        </row>
        <row r="21">
          <cell r="D21" t="str">
            <v>PanII-Sri</v>
          </cell>
          <cell r="G21">
            <v>48</v>
          </cell>
          <cell r="H21">
            <v>200</v>
          </cell>
        </row>
        <row r="22">
          <cell r="D22" t="str">
            <v>PanII-Sri</v>
          </cell>
          <cell r="G22">
            <v>48</v>
          </cell>
          <cell r="H22">
            <v>200</v>
          </cell>
        </row>
        <row r="23">
          <cell r="D23" t="str">
            <v>Cho-Lsa</v>
          </cell>
          <cell r="G23">
            <v>142.19</v>
          </cell>
          <cell r="H23">
            <v>400</v>
          </cell>
        </row>
        <row r="24">
          <cell r="D24" t="str">
            <v>Cho-Lsa</v>
          </cell>
          <cell r="G24">
            <v>142.19</v>
          </cell>
          <cell r="H24">
            <v>400</v>
          </cell>
        </row>
        <row r="25">
          <cell r="D25" t="str">
            <v>Cho-Elh</v>
          </cell>
          <cell r="G25">
            <v>82.5</v>
          </cell>
          <cell r="H25">
            <v>247</v>
          </cell>
        </row>
        <row r="26">
          <cell r="D26" t="str">
            <v>Cho-Elh</v>
          </cell>
          <cell r="G26">
            <v>82.5</v>
          </cell>
          <cell r="H26">
            <v>247</v>
          </cell>
        </row>
        <row r="27">
          <cell r="D27" t="str">
            <v>Cho-PanIII</v>
          </cell>
          <cell r="G27">
            <v>26</v>
          </cell>
          <cell r="H27">
            <v>400</v>
          </cell>
        </row>
        <row r="28">
          <cell r="D28" t="str">
            <v>Cho-PanIII</v>
          </cell>
          <cell r="G28">
            <v>26</v>
          </cell>
          <cell r="H28">
            <v>400</v>
          </cell>
        </row>
        <row r="29">
          <cell r="D29" t="str">
            <v>Lsa-Vel</v>
          </cell>
          <cell r="G29">
            <v>110.07</v>
          </cell>
          <cell r="H29">
            <v>400</v>
          </cell>
        </row>
        <row r="30">
          <cell r="D30" t="str">
            <v>Lsa-Vel</v>
          </cell>
          <cell r="G30">
            <v>110.07</v>
          </cell>
          <cell r="H30">
            <v>400</v>
          </cell>
        </row>
        <row r="31">
          <cell r="D31" t="str">
            <v>Lsa-Vel</v>
          </cell>
          <cell r="G31">
            <v>109.36</v>
          </cell>
          <cell r="H31">
            <v>247</v>
          </cell>
        </row>
        <row r="32">
          <cell r="D32" t="str">
            <v>Lsa-Elh</v>
          </cell>
          <cell r="G32">
            <v>59.7</v>
          </cell>
          <cell r="H32">
            <v>247</v>
          </cell>
        </row>
        <row r="33">
          <cell r="D33" t="str">
            <v>Lsa-Elh</v>
          </cell>
          <cell r="G33">
            <v>59.7</v>
          </cell>
          <cell r="H33">
            <v>247</v>
          </cell>
        </row>
        <row r="34">
          <cell r="D34" t="str">
            <v>Lsa-Eco</v>
          </cell>
          <cell r="G34">
            <v>60</v>
          </cell>
          <cell r="H34">
            <v>275</v>
          </cell>
        </row>
        <row r="35">
          <cell r="D35" t="str">
            <v>Lsa-Eco</v>
          </cell>
          <cell r="G35">
            <v>60</v>
          </cell>
          <cell r="H35">
            <v>275</v>
          </cell>
        </row>
        <row r="36">
          <cell r="D36" t="str">
            <v>Lsa-Sba</v>
          </cell>
          <cell r="G36">
            <v>70.5</v>
          </cell>
          <cell r="H36">
            <v>275</v>
          </cell>
        </row>
        <row r="37">
          <cell r="D37" t="str">
            <v>Lsa-Sba</v>
          </cell>
          <cell r="G37">
            <v>70.5</v>
          </cell>
          <cell r="H37">
            <v>275</v>
          </cell>
        </row>
        <row r="38">
          <cell r="D38" t="str">
            <v>Lsa-Bbl</v>
          </cell>
          <cell r="G38">
            <v>100.73</v>
          </cell>
          <cell r="H38">
            <v>247</v>
          </cell>
        </row>
        <row r="39">
          <cell r="D39" t="str">
            <v>Lsa Transfo</v>
          </cell>
          <cell r="G39">
            <v>0</v>
          </cell>
          <cell r="H39">
            <v>70</v>
          </cell>
        </row>
        <row r="40">
          <cell r="D40" t="str">
            <v>Lsa Transfo</v>
          </cell>
          <cell r="G40">
            <v>0</v>
          </cell>
          <cell r="H40">
            <v>70</v>
          </cell>
        </row>
        <row r="41">
          <cell r="D41" t="str">
            <v>Lsa Transfo</v>
          </cell>
          <cell r="G41">
            <v>0</v>
          </cell>
          <cell r="H41">
            <v>70</v>
          </cell>
        </row>
        <row r="42">
          <cell r="D42" t="str">
            <v>Mdn-Pro</v>
          </cell>
          <cell r="G42">
            <v>54</v>
          </cell>
          <cell r="H42">
            <v>400</v>
          </cell>
        </row>
        <row r="43">
          <cell r="D43" t="str">
            <v>Mdn-For</v>
          </cell>
          <cell r="G43">
            <v>37.5</v>
          </cell>
          <cell r="H43">
            <v>193</v>
          </cell>
        </row>
        <row r="44">
          <cell r="D44" t="str">
            <v>Mdn-For</v>
          </cell>
          <cell r="G44">
            <v>37.5</v>
          </cell>
          <cell r="H44">
            <v>193</v>
          </cell>
        </row>
        <row r="45">
          <cell r="D45" t="str">
            <v>Mdn-Vel</v>
          </cell>
          <cell r="G45">
            <v>84.49</v>
          </cell>
          <cell r="H45">
            <v>350</v>
          </cell>
        </row>
        <row r="46">
          <cell r="D46" t="str">
            <v>Mdn-Vel</v>
          </cell>
          <cell r="G46">
            <v>84.49</v>
          </cell>
          <cell r="H46">
            <v>350</v>
          </cell>
        </row>
        <row r="47">
          <cell r="D47" t="str">
            <v>Mdn-BoqIII</v>
          </cell>
          <cell r="G47">
            <v>27</v>
          </cell>
          <cell r="H47">
            <v>400</v>
          </cell>
        </row>
        <row r="48">
          <cell r="D48" t="str">
            <v>Mdn Tranfo</v>
          </cell>
          <cell r="G48">
            <v>0</v>
          </cell>
          <cell r="H48">
            <v>70</v>
          </cell>
        </row>
        <row r="49">
          <cell r="D49" t="str">
            <v>Mdn-Cal</v>
          </cell>
          <cell r="G49">
            <v>25</v>
          </cell>
          <cell r="H49">
            <v>93</v>
          </cell>
        </row>
        <row r="50">
          <cell r="D50" t="str">
            <v>Mdn-Cal</v>
          </cell>
          <cell r="G50">
            <v>25</v>
          </cell>
          <cell r="H50">
            <v>93</v>
          </cell>
        </row>
        <row r="51">
          <cell r="D51" t="str">
            <v>Mdn Tranfo</v>
          </cell>
          <cell r="G51">
            <v>0</v>
          </cell>
          <cell r="H51">
            <v>70</v>
          </cell>
        </row>
        <row r="52">
          <cell r="D52" t="str">
            <v>Mdn Tranfo</v>
          </cell>
          <cell r="G52">
            <v>0</v>
          </cell>
          <cell r="H52">
            <v>70</v>
          </cell>
        </row>
        <row r="53">
          <cell r="D53" t="str">
            <v>Pro-BoqIII</v>
          </cell>
          <cell r="G53">
            <v>27</v>
          </cell>
          <cell r="H53">
            <v>400</v>
          </cell>
        </row>
        <row r="54">
          <cell r="D54" t="str">
            <v>Cac-Sma</v>
          </cell>
          <cell r="G54">
            <v>1</v>
          </cell>
          <cell r="H54">
            <v>97</v>
          </cell>
        </row>
        <row r="55">
          <cell r="D55" t="str">
            <v>Cac-Sri</v>
          </cell>
          <cell r="G55">
            <v>46.6</v>
          </cell>
          <cell r="H55">
            <v>150</v>
          </cell>
        </row>
        <row r="56">
          <cell r="D56" t="str">
            <v>Cac-Sri</v>
          </cell>
          <cell r="G56">
            <v>46.6</v>
          </cell>
          <cell r="H56">
            <v>150</v>
          </cell>
        </row>
        <row r="57">
          <cell r="D57" t="str">
            <v>Chi-LM2</v>
          </cell>
          <cell r="G57">
            <v>31.5</v>
          </cell>
          <cell r="H57">
            <v>203</v>
          </cell>
        </row>
        <row r="58">
          <cell r="D58" t="str">
            <v>LM1-LMD</v>
          </cell>
          <cell r="G58">
            <v>0.25</v>
          </cell>
          <cell r="H58">
            <v>90.6</v>
          </cell>
        </row>
        <row r="59">
          <cell r="D59" t="str">
            <v>LM1-Sri</v>
          </cell>
          <cell r="G59">
            <v>6.2</v>
          </cell>
          <cell r="H59">
            <v>150</v>
          </cell>
        </row>
        <row r="60">
          <cell r="D60" t="str">
            <v>LM1-Cat</v>
          </cell>
          <cell r="G60">
            <v>7.4999999999999997E-2</v>
          </cell>
          <cell r="H60">
            <v>258.94</v>
          </cell>
        </row>
        <row r="61">
          <cell r="D61" t="str">
            <v>LM1-CatII</v>
          </cell>
          <cell r="G61">
            <v>0.8</v>
          </cell>
          <cell r="H61">
            <v>150</v>
          </cell>
        </row>
        <row r="62">
          <cell r="D62" t="str">
            <v>LM2-LMD</v>
          </cell>
          <cell r="G62">
            <v>0.25</v>
          </cell>
          <cell r="H62">
            <v>90.6</v>
          </cell>
        </row>
        <row r="63">
          <cell r="D63" t="str">
            <v>LM2-Cpa</v>
          </cell>
          <cell r="G63">
            <v>15</v>
          </cell>
          <cell r="H63">
            <v>203</v>
          </cell>
        </row>
        <row r="64">
          <cell r="D64" t="str">
            <v>LM2-Cat</v>
          </cell>
          <cell r="G64">
            <v>7.4999999999999997E-2</v>
          </cell>
          <cell r="H64">
            <v>258.94</v>
          </cell>
        </row>
        <row r="65">
          <cell r="D65" t="str">
            <v>Cal-Les</v>
          </cell>
          <cell r="G65">
            <v>5.8</v>
          </cell>
          <cell r="H65">
            <v>93</v>
          </cell>
        </row>
        <row r="66">
          <cell r="D66" t="str">
            <v>Cal-Lva</v>
          </cell>
          <cell r="G66">
            <v>2</v>
          </cell>
          <cell r="H66">
            <v>93</v>
          </cell>
        </row>
        <row r="67">
          <cell r="D67" t="str">
            <v>Cal Transfo</v>
          </cell>
          <cell r="G67">
            <v>0</v>
          </cell>
          <cell r="H67">
            <v>62.5</v>
          </cell>
        </row>
        <row r="68">
          <cell r="D68" t="str">
            <v>For-Gua</v>
          </cell>
          <cell r="G68">
            <v>16</v>
          </cell>
          <cell r="H68">
            <v>276</v>
          </cell>
        </row>
        <row r="69">
          <cell r="D69" t="str">
            <v>For-Esp</v>
          </cell>
          <cell r="G69">
            <v>97.55</v>
          </cell>
          <cell r="H69">
            <v>304</v>
          </cell>
        </row>
        <row r="70">
          <cell r="D70" t="str">
            <v>Bay-Pac</v>
          </cell>
          <cell r="G70">
            <v>49.14</v>
          </cell>
          <cell r="H70">
            <v>186</v>
          </cell>
        </row>
        <row r="71">
          <cell r="D71" t="str">
            <v>Bay-24Dic</v>
          </cell>
          <cell r="G71">
            <v>58.4</v>
          </cell>
          <cell r="H71">
            <v>186</v>
          </cell>
        </row>
        <row r="72">
          <cell r="D72" t="str">
            <v>Sri-CatII</v>
          </cell>
          <cell r="G72">
            <v>6.2</v>
          </cell>
          <cell r="H72">
            <v>150</v>
          </cell>
        </row>
        <row r="73">
          <cell r="D73" t="str">
            <v>Gua-Vel</v>
          </cell>
          <cell r="G73">
            <v>84.3</v>
          </cell>
          <cell r="H73">
            <v>275</v>
          </cell>
        </row>
        <row r="74">
          <cell r="D74" t="str">
            <v>Gua-Vel</v>
          </cell>
          <cell r="G74">
            <v>84.3</v>
          </cell>
          <cell r="H74">
            <v>275</v>
          </cell>
        </row>
        <row r="75">
          <cell r="D75" t="str">
            <v>Gua-Can</v>
          </cell>
          <cell r="G75">
            <v>44</v>
          </cell>
          <cell r="H75">
            <v>276</v>
          </cell>
        </row>
        <row r="76">
          <cell r="D76" t="str">
            <v>Vel-Dom</v>
          </cell>
          <cell r="G76">
            <v>133</v>
          </cell>
          <cell r="H76">
            <v>300</v>
          </cell>
        </row>
        <row r="77">
          <cell r="D77" t="str">
            <v>Vel-Sba</v>
          </cell>
          <cell r="G77">
            <v>39.57</v>
          </cell>
          <cell r="H77">
            <v>275</v>
          </cell>
        </row>
        <row r="78">
          <cell r="D78" t="str">
            <v>Vel-Sba</v>
          </cell>
          <cell r="G78">
            <v>39.57</v>
          </cell>
          <cell r="H78">
            <v>275</v>
          </cell>
        </row>
        <row r="79">
          <cell r="D79" t="str">
            <v>Vel-Bbl</v>
          </cell>
          <cell r="G79">
            <v>8.64</v>
          </cell>
          <cell r="H79">
            <v>247</v>
          </cell>
        </row>
        <row r="80">
          <cell r="D80" t="str">
            <v>Cha Transfo</v>
          </cell>
          <cell r="G80">
            <v>0</v>
          </cell>
          <cell r="H80">
            <v>50</v>
          </cell>
        </row>
        <row r="81">
          <cell r="D81" t="str">
            <v>Cha-Esp</v>
          </cell>
          <cell r="G81">
            <v>24.11</v>
          </cell>
          <cell r="H81">
            <v>304</v>
          </cell>
        </row>
        <row r="82">
          <cell r="D82" t="str">
            <v>Cha-Can</v>
          </cell>
          <cell r="G82">
            <v>76.650000000000006</v>
          </cell>
          <cell r="H82">
            <v>304</v>
          </cell>
        </row>
        <row r="83">
          <cell r="D83" t="str">
            <v>Cha-Frn2</v>
          </cell>
          <cell r="G83">
            <v>15</v>
          </cell>
          <cell r="H83">
            <v>304</v>
          </cell>
        </row>
        <row r="84">
          <cell r="D84" t="str">
            <v>BoqIII Transfo 1</v>
          </cell>
          <cell r="G84">
            <v>0</v>
          </cell>
          <cell r="H84">
            <v>83.3</v>
          </cell>
        </row>
        <row r="85">
          <cell r="D85" t="str">
            <v>BoqIII Transfo 2</v>
          </cell>
          <cell r="G85">
            <v>0</v>
          </cell>
          <cell r="H85">
            <v>83.3</v>
          </cell>
        </row>
        <row r="86">
          <cell r="D86" t="str">
            <v>Tel-PanIII</v>
          </cell>
          <cell r="G86">
            <v>66.5</v>
          </cell>
          <cell r="H86">
            <v>704</v>
          </cell>
        </row>
        <row r="87">
          <cell r="D87" t="str">
            <v>Tel-PanIII</v>
          </cell>
          <cell r="G87">
            <v>66.5</v>
          </cell>
          <cell r="H87">
            <v>704</v>
          </cell>
        </row>
        <row r="88">
          <cell r="D88" t="str">
            <v>Eco-PanIII</v>
          </cell>
          <cell r="G88">
            <v>109.06</v>
          </cell>
          <cell r="H88">
            <v>275</v>
          </cell>
        </row>
        <row r="89">
          <cell r="D89" t="str">
            <v>Eco-PanIII</v>
          </cell>
          <cell r="G89">
            <v>109.06</v>
          </cell>
          <cell r="H89">
            <v>275</v>
          </cell>
        </row>
        <row r="90">
          <cell r="D90" t="str">
            <v>Frn3-Dom</v>
          </cell>
          <cell r="G90">
            <v>17</v>
          </cell>
          <cell r="H90">
            <v>300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d"/>
      <sheetName val="Ram"/>
    </sheetNames>
    <sheetDataSet>
      <sheetData sheetId="0" refreshError="1"/>
      <sheetData sheetId="1" refreshError="1"/>
      <sheetData sheetId="2">
        <row r="4">
          <cell r="D4" t="str">
            <v>Pan-Pan115</v>
          </cell>
          <cell r="G4">
            <v>0</v>
          </cell>
          <cell r="H4">
            <v>350</v>
          </cell>
        </row>
        <row r="5">
          <cell r="D5" t="str">
            <v>Pan-PanII</v>
          </cell>
          <cell r="G5">
            <v>12.94</v>
          </cell>
          <cell r="H5">
            <v>350</v>
          </cell>
        </row>
        <row r="6">
          <cell r="D6" t="str">
            <v>Pan-PanII</v>
          </cell>
          <cell r="G6">
            <v>12.94</v>
          </cell>
          <cell r="H6">
            <v>350</v>
          </cell>
        </row>
        <row r="7">
          <cell r="D7" t="str">
            <v>Pan-Cho</v>
          </cell>
          <cell r="G7">
            <v>39</v>
          </cell>
          <cell r="H7">
            <v>247</v>
          </cell>
        </row>
        <row r="8">
          <cell r="D8" t="str">
            <v>Pan-Cho</v>
          </cell>
          <cell r="G8">
            <v>39</v>
          </cell>
          <cell r="H8">
            <v>247</v>
          </cell>
        </row>
        <row r="9">
          <cell r="D9" t="str">
            <v>Pan-Cac</v>
          </cell>
          <cell r="G9">
            <v>0.8</v>
          </cell>
          <cell r="H9">
            <v>120</v>
          </cell>
        </row>
        <row r="10">
          <cell r="D10" t="str">
            <v>Pan-Cac</v>
          </cell>
          <cell r="G10">
            <v>0.8</v>
          </cell>
          <cell r="H10">
            <v>142</v>
          </cell>
        </row>
        <row r="11">
          <cell r="D11" t="str">
            <v>Pan-Chi</v>
          </cell>
          <cell r="G11">
            <v>22.6</v>
          </cell>
          <cell r="H11">
            <v>93</v>
          </cell>
        </row>
        <row r="12">
          <cell r="D12" t="str">
            <v>Pan-Sma</v>
          </cell>
          <cell r="G12">
            <v>1.4</v>
          </cell>
          <cell r="H12">
            <v>93</v>
          </cell>
        </row>
        <row r="13">
          <cell r="D13" t="str">
            <v>Pan-Cpa</v>
          </cell>
          <cell r="G13">
            <v>39</v>
          </cell>
          <cell r="H13">
            <v>93</v>
          </cell>
        </row>
        <row r="14">
          <cell r="D14" t="str">
            <v>PanII-PanII115</v>
          </cell>
          <cell r="G14">
            <v>0</v>
          </cell>
          <cell r="H14">
            <v>175</v>
          </cell>
        </row>
        <row r="15">
          <cell r="D15" t="str">
            <v>PanII-Pac</v>
          </cell>
          <cell r="G15">
            <v>19</v>
          </cell>
          <cell r="H15">
            <v>186</v>
          </cell>
        </row>
        <row r="16">
          <cell r="D16" t="str">
            <v>PanII-Eco</v>
          </cell>
          <cell r="G16">
            <v>135</v>
          </cell>
          <cell r="H16">
            <v>275</v>
          </cell>
        </row>
        <row r="17">
          <cell r="D17" t="str">
            <v>PanII-Eco</v>
          </cell>
          <cell r="G17">
            <v>135</v>
          </cell>
          <cell r="H17">
            <v>275</v>
          </cell>
        </row>
        <row r="18">
          <cell r="D18" t="str">
            <v>PanII-24Dic</v>
          </cell>
          <cell r="G18">
            <v>9</v>
          </cell>
          <cell r="H18">
            <v>186</v>
          </cell>
        </row>
        <row r="19">
          <cell r="D19" t="str">
            <v>PanII-Sri</v>
          </cell>
          <cell r="G19">
            <v>48</v>
          </cell>
          <cell r="H19">
            <v>200</v>
          </cell>
        </row>
        <row r="20">
          <cell r="D20" t="str">
            <v>PanII-Sri</v>
          </cell>
          <cell r="G20">
            <v>48</v>
          </cell>
          <cell r="H20">
            <v>200</v>
          </cell>
        </row>
        <row r="21">
          <cell r="D21" t="str">
            <v>Cho-Elh</v>
          </cell>
          <cell r="G21">
            <v>82.5</v>
          </cell>
          <cell r="H21">
            <v>247</v>
          </cell>
        </row>
        <row r="22">
          <cell r="D22" t="str">
            <v>Cho-Elh</v>
          </cell>
          <cell r="G22">
            <v>82.5</v>
          </cell>
          <cell r="H22">
            <v>247</v>
          </cell>
        </row>
        <row r="23">
          <cell r="D23" t="str">
            <v>Lsa-Sba</v>
          </cell>
          <cell r="G23">
            <v>70.5</v>
          </cell>
          <cell r="H23">
            <v>275</v>
          </cell>
        </row>
        <row r="24">
          <cell r="D24" t="str">
            <v>Lsa-Sba</v>
          </cell>
          <cell r="G24">
            <v>70.5</v>
          </cell>
          <cell r="H24">
            <v>275</v>
          </cell>
        </row>
        <row r="25">
          <cell r="D25" t="str">
            <v>Lsa-Vel</v>
          </cell>
          <cell r="G25">
            <v>109.36</v>
          </cell>
          <cell r="H25">
            <v>247</v>
          </cell>
        </row>
        <row r="26">
          <cell r="D26" t="str">
            <v>Lsa-Bbl</v>
          </cell>
          <cell r="G26">
            <v>100.73</v>
          </cell>
          <cell r="H26">
            <v>247</v>
          </cell>
        </row>
        <row r="27">
          <cell r="D27" t="str">
            <v>Lsa-Elh</v>
          </cell>
          <cell r="G27">
            <v>59.7</v>
          </cell>
          <cell r="H27">
            <v>247</v>
          </cell>
        </row>
        <row r="28">
          <cell r="D28" t="str">
            <v>Lsa-Elh</v>
          </cell>
          <cell r="G28">
            <v>59.7</v>
          </cell>
          <cell r="H28">
            <v>247</v>
          </cell>
        </row>
        <row r="29">
          <cell r="D29" t="str">
            <v>Lsa-Eco</v>
          </cell>
          <cell r="G29">
            <v>60</v>
          </cell>
          <cell r="H29">
            <v>275</v>
          </cell>
        </row>
        <row r="30">
          <cell r="D30" t="str">
            <v>Lsa-Eco</v>
          </cell>
          <cell r="G30">
            <v>60</v>
          </cell>
          <cell r="H30">
            <v>275</v>
          </cell>
        </row>
        <row r="31">
          <cell r="D31" t="str">
            <v>Lsa Transfo</v>
          </cell>
          <cell r="G31">
            <v>0</v>
          </cell>
          <cell r="H31">
            <v>70</v>
          </cell>
        </row>
        <row r="32">
          <cell r="D32" t="str">
            <v>Lsa Transfo</v>
          </cell>
          <cell r="G32">
            <v>0</v>
          </cell>
          <cell r="H32">
            <v>70</v>
          </cell>
        </row>
        <row r="33">
          <cell r="D33" t="str">
            <v>Lsa Transfo</v>
          </cell>
          <cell r="G33">
            <v>0</v>
          </cell>
          <cell r="H33">
            <v>70</v>
          </cell>
        </row>
        <row r="34">
          <cell r="D34" t="str">
            <v>Mdn-Pro</v>
          </cell>
          <cell r="G34">
            <v>54</v>
          </cell>
          <cell r="H34">
            <v>400</v>
          </cell>
        </row>
        <row r="35">
          <cell r="D35" t="str">
            <v>Mdn-For</v>
          </cell>
          <cell r="G35">
            <v>37.5</v>
          </cell>
          <cell r="H35">
            <v>193</v>
          </cell>
        </row>
        <row r="36">
          <cell r="D36" t="str">
            <v>Mdn-For</v>
          </cell>
          <cell r="G36">
            <v>37.5</v>
          </cell>
          <cell r="H36">
            <v>193</v>
          </cell>
        </row>
        <row r="37">
          <cell r="D37" t="str">
            <v>Mdn-Vel</v>
          </cell>
          <cell r="G37">
            <v>84.49</v>
          </cell>
          <cell r="H37">
            <v>350</v>
          </cell>
        </row>
        <row r="38">
          <cell r="D38" t="str">
            <v>Mdn-Vel</v>
          </cell>
          <cell r="G38">
            <v>84.49</v>
          </cell>
          <cell r="H38">
            <v>350</v>
          </cell>
        </row>
        <row r="39">
          <cell r="D39" t="str">
            <v>Mdn-BoqIII</v>
          </cell>
          <cell r="G39">
            <v>27</v>
          </cell>
          <cell r="H39">
            <v>400</v>
          </cell>
        </row>
        <row r="40">
          <cell r="D40" t="str">
            <v>Mdn Tranfo</v>
          </cell>
          <cell r="G40">
            <v>0</v>
          </cell>
          <cell r="H40">
            <v>70</v>
          </cell>
        </row>
        <row r="41">
          <cell r="D41" t="str">
            <v>Mdn-Cal</v>
          </cell>
          <cell r="G41">
            <v>25</v>
          </cell>
          <cell r="H41">
            <v>93</v>
          </cell>
        </row>
        <row r="42">
          <cell r="D42" t="str">
            <v>Mdn-Cal</v>
          </cell>
          <cell r="G42">
            <v>25</v>
          </cell>
          <cell r="H42">
            <v>93</v>
          </cell>
        </row>
        <row r="43">
          <cell r="D43" t="str">
            <v>Mdn Tranfo</v>
          </cell>
          <cell r="G43">
            <v>0</v>
          </cell>
          <cell r="H43">
            <v>70</v>
          </cell>
        </row>
        <row r="44">
          <cell r="D44" t="str">
            <v>Mdn Tranfo</v>
          </cell>
          <cell r="G44">
            <v>0</v>
          </cell>
          <cell r="H44">
            <v>70</v>
          </cell>
        </row>
        <row r="45">
          <cell r="D45" t="str">
            <v>Pro-BoqIII</v>
          </cell>
          <cell r="G45">
            <v>27</v>
          </cell>
          <cell r="H45">
            <v>400</v>
          </cell>
        </row>
        <row r="46">
          <cell r="D46" t="str">
            <v>Cac-Sma</v>
          </cell>
          <cell r="G46">
            <v>1</v>
          </cell>
          <cell r="H46">
            <v>97</v>
          </cell>
        </row>
        <row r="47">
          <cell r="D47" t="str">
            <v>Cac-Sri</v>
          </cell>
          <cell r="G47">
            <v>46.6</v>
          </cell>
          <cell r="H47">
            <v>150</v>
          </cell>
        </row>
        <row r="48">
          <cell r="D48" t="str">
            <v>Cac-Sri</v>
          </cell>
          <cell r="G48">
            <v>46.6</v>
          </cell>
          <cell r="H48">
            <v>150</v>
          </cell>
        </row>
        <row r="49">
          <cell r="D49" t="str">
            <v>Chi-LM2</v>
          </cell>
          <cell r="G49">
            <v>31.5</v>
          </cell>
          <cell r="H49">
            <v>93</v>
          </cell>
        </row>
        <row r="50">
          <cell r="D50" t="str">
            <v>LM1-LMD</v>
          </cell>
          <cell r="G50">
            <v>0.25</v>
          </cell>
          <cell r="H50">
            <v>90.6</v>
          </cell>
        </row>
        <row r="51">
          <cell r="D51" t="str">
            <v>LM1-Sri</v>
          </cell>
          <cell r="G51">
            <v>6.2</v>
          </cell>
          <cell r="H51">
            <v>150</v>
          </cell>
        </row>
        <row r="52">
          <cell r="D52" t="str">
            <v>LM1-Cat</v>
          </cell>
          <cell r="G52">
            <v>7.4999999999999997E-2</v>
          </cell>
          <cell r="H52">
            <v>258.94</v>
          </cell>
        </row>
        <row r="53">
          <cell r="D53" t="str">
            <v>LM1-CatII</v>
          </cell>
          <cell r="G53">
            <v>0.8</v>
          </cell>
          <cell r="H53">
            <v>150</v>
          </cell>
        </row>
        <row r="54">
          <cell r="D54" t="str">
            <v>LM2-LMD</v>
          </cell>
          <cell r="G54">
            <v>0.25</v>
          </cell>
          <cell r="H54">
            <v>90.6</v>
          </cell>
        </row>
        <row r="55">
          <cell r="D55" t="str">
            <v>LM2-Cpa</v>
          </cell>
          <cell r="G55">
            <v>15</v>
          </cell>
          <cell r="H55">
            <v>93</v>
          </cell>
        </row>
        <row r="56">
          <cell r="D56" t="str">
            <v>LM2-Cat</v>
          </cell>
          <cell r="G56">
            <v>7.4999999999999997E-2</v>
          </cell>
          <cell r="H56">
            <v>258.94</v>
          </cell>
        </row>
        <row r="57">
          <cell r="D57" t="str">
            <v>Cal-Les</v>
          </cell>
          <cell r="G57">
            <v>5.8</v>
          </cell>
          <cell r="H57">
            <v>93</v>
          </cell>
        </row>
        <row r="58">
          <cell r="D58" t="str">
            <v>Cal-Lva</v>
          </cell>
          <cell r="G58">
            <v>2</v>
          </cell>
          <cell r="H58">
            <v>93</v>
          </cell>
        </row>
        <row r="59">
          <cell r="D59" t="str">
            <v>Cal Transfo</v>
          </cell>
          <cell r="G59">
            <v>0</v>
          </cell>
          <cell r="H59">
            <v>62.5</v>
          </cell>
        </row>
        <row r="60">
          <cell r="D60" t="str">
            <v>For-Gua</v>
          </cell>
          <cell r="G60">
            <v>16</v>
          </cell>
          <cell r="H60">
            <v>276</v>
          </cell>
        </row>
        <row r="61">
          <cell r="D61" t="str">
            <v>For-Esp</v>
          </cell>
          <cell r="G61">
            <v>97.55</v>
          </cell>
          <cell r="H61">
            <v>304</v>
          </cell>
        </row>
        <row r="62">
          <cell r="D62" t="str">
            <v>Bay-Pac</v>
          </cell>
          <cell r="G62">
            <v>49.14</v>
          </cell>
          <cell r="H62">
            <v>186</v>
          </cell>
        </row>
        <row r="63">
          <cell r="D63" t="str">
            <v>Bay-24Dic</v>
          </cell>
          <cell r="G63">
            <v>58.4</v>
          </cell>
          <cell r="H63">
            <v>186</v>
          </cell>
        </row>
        <row r="64">
          <cell r="D64" t="str">
            <v>Sri-CatII</v>
          </cell>
          <cell r="G64">
            <v>6.2</v>
          </cell>
          <cell r="H64">
            <v>150</v>
          </cell>
        </row>
        <row r="65">
          <cell r="D65" t="str">
            <v>Gua-Vel</v>
          </cell>
          <cell r="G65">
            <v>84.3</v>
          </cell>
          <cell r="H65">
            <v>275</v>
          </cell>
        </row>
        <row r="66">
          <cell r="D66" t="str">
            <v>Gua-Vel</v>
          </cell>
          <cell r="G66">
            <v>84.3</v>
          </cell>
          <cell r="H66">
            <v>275</v>
          </cell>
        </row>
        <row r="67">
          <cell r="D67" t="str">
            <v>Gua-Can</v>
          </cell>
          <cell r="G67">
            <v>44</v>
          </cell>
          <cell r="H67">
            <v>276</v>
          </cell>
        </row>
        <row r="68">
          <cell r="D68" t="str">
            <v>Vel-Dom</v>
          </cell>
          <cell r="G68">
            <v>133</v>
          </cell>
          <cell r="H68">
            <v>300</v>
          </cell>
        </row>
        <row r="69">
          <cell r="D69" t="str">
            <v>Vel-Sba</v>
          </cell>
          <cell r="G69">
            <v>39.57</v>
          </cell>
          <cell r="H69">
            <v>275</v>
          </cell>
        </row>
        <row r="70">
          <cell r="D70" t="str">
            <v>Vel-Sba</v>
          </cell>
          <cell r="G70">
            <v>39.57</v>
          </cell>
          <cell r="H70">
            <v>275</v>
          </cell>
        </row>
        <row r="71">
          <cell r="D71" t="str">
            <v>Vel-Bbl</v>
          </cell>
          <cell r="G71">
            <v>8.64</v>
          </cell>
          <cell r="H71">
            <v>247</v>
          </cell>
        </row>
        <row r="72">
          <cell r="D72" t="str">
            <v>Cha Transfo</v>
          </cell>
          <cell r="G72">
            <v>0</v>
          </cell>
          <cell r="H72">
            <v>50</v>
          </cell>
        </row>
        <row r="73">
          <cell r="D73" t="str">
            <v>Cha-Esp</v>
          </cell>
          <cell r="G73">
            <v>24.11</v>
          </cell>
          <cell r="H73">
            <v>304</v>
          </cell>
        </row>
        <row r="74">
          <cell r="D74" t="str">
            <v>Cha-Can</v>
          </cell>
          <cell r="G74">
            <v>76.650000000000006</v>
          </cell>
          <cell r="H74">
            <v>304</v>
          </cell>
        </row>
        <row r="75">
          <cell r="D75" t="str">
            <v>Cha-Frn2</v>
          </cell>
          <cell r="G75">
            <v>15</v>
          </cell>
          <cell r="H75">
            <v>304</v>
          </cell>
        </row>
        <row r="76">
          <cell r="D76" t="str">
            <v>BoqIII Transfo 1</v>
          </cell>
          <cell r="G76">
            <v>0</v>
          </cell>
          <cell r="H76">
            <v>83.3</v>
          </cell>
        </row>
        <row r="77">
          <cell r="D77" t="str">
            <v>BoqIII Transfo 2</v>
          </cell>
          <cell r="G77">
            <v>0</v>
          </cell>
          <cell r="H77">
            <v>83.3</v>
          </cell>
        </row>
        <row r="78">
          <cell r="D78" t="str">
            <v>Frn3-Dom</v>
          </cell>
          <cell r="G78">
            <v>17</v>
          </cell>
          <cell r="H78">
            <v>300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2008Contraloría Historico"/>
      <sheetName val="2001-08Contraloría Estruc. Hist"/>
      <sheetName val="PIB Estructural TRIM 2005-09"/>
      <sheetName val="Pronosticos Publicados 2009-10 "/>
      <sheetName val="PIB Mundial vs Panama"/>
      <sheetName val="PIB 2009 Estimado "/>
      <sheetName val="PIB 2009, tres metodologías (M)"/>
      <sheetName val="PIB Estructural 2009 Esti  (M)"/>
      <sheetName val="Variacion PIB por Act 2001-08"/>
      <sheetName val="Analisis IMAE 2008"/>
      <sheetName val="Analisis IMAE 2008 Anexo"/>
      <sheetName val="PIB Estructural II Trim 2009 "/>
      <sheetName val="Impuestos Netos"/>
      <sheetName val="PIB Estructural III Trim 2008 "/>
      <sheetName val="PIB Estructural III Trim2008Mod"/>
      <sheetName val="Var.  Estructural 2010  Mod"/>
      <sheetName val="PIB Estructural 2010 Estima 09 "/>
      <sheetName val="PIB Estructural 2010 Estima (2)"/>
      <sheetName val="Variacion PIB- Esc. Exp. Canal"/>
      <sheetName val="Tasas PIB INTRACORP"/>
      <sheetName val="Comp.Tasas PIB INTRACORP- Real "/>
      <sheetName val="Tasas PIB INTRACORP (2)"/>
      <sheetName val="Premisas Escenarios"/>
      <sheetName val="Estimacion PIB 2010-2024"/>
      <sheetName val="Pronosticos 2010-24 %"/>
      <sheetName val="Estimacion PIB 2010-2024 (2)"/>
      <sheetName val="Pronosticos 2010-24 % (2)"/>
      <sheetName val="Estimacion PIB 2010-2024 (3)"/>
      <sheetName val="Hoja5"/>
      <sheetName val="Hoja1"/>
      <sheetName val="Pronosticos 2010-24 % (3)"/>
      <sheetName val="Gráfico TASAS 2009-2024"/>
      <sheetName val="Tasas PIB INTRACORP (3)"/>
      <sheetName val="Empalme de Bases 96-82"/>
      <sheetName val="Empalme de Bases 96-82 (2)"/>
      <sheetName val="Hoja2"/>
      <sheetName val="Mat.  Cons.  2002-2006"/>
      <sheetName val="Produccion fisica Man 2002-06"/>
      <sheetName val="Carac.Consumo Sector Ind."/>
      <sheetName val="Evalua Estimado 2006"/>
      <sheetName val="industria-Algunos indicadores"/>
      <sheetName val="PIB MANUFACTURA"/>
      <sheetName val="Est. PIB MANUFACTURA ACP1996Mod"/>
      <sheetName val="Est. PIB MANUFACTURA ACP1996Mo2"/>
      <sheetName val="Est. PIB MANUFACTURA EMPALMEMod"/>
      <sheetName val="Hoja3"/>
    </sheetNames>
    <sheetDataSet>
      <sheetData sheetId="0">
        <row r="13">
          <cell r="D13">
            <v>588.29999999999995</v>
          </cell>
        </row>
      </sheetData>
      <sheetData sheetId="1"/>
      <sheetData sheetId="2">
        <row r="11">
          <cell r="AD11">
            <v>-0.12450884086444014</v>
          </cell>
        </row>
      </sheetData>
      <sheetData sheetId="3">
        <row r="41">
          <cell r="AH41">
            <v>6.5</v>
          </cell>
        </row>
      </sheetData>
      <sheetData sheetId="4"/>
      <sheetData sheetId="5"/>
      <sheetData sheetId="6">
        <row r="7">
          <cell r="AG7">
            <v>2.8234922146866938E-2</v>
          </cell>
        </row>
      </sheetData>
      <sheetData sheetId="7"/>
      <sheetData sheetId="8"/>
      <sheetData sheetId="9"/>
      <sheetData sheetId="10"/>
      <sheetData sheetId="11">
        <row r="12">
          <cell r="L12">
            <v>628.56387938206308</v>
          </cell>
        </row>
      </sheetData>
      <sheetData sheetId="12">
        <row r="27">
          <cell r="N27">
            <v>0.30833039181080124</v>
          </cell>
        </row>
      </sheetData>
      <sheetData sheetId="13">
        <row r="12">
          <cell r="L12">
            <v>3.9071116992456238E-2</v>
          </cell>
        </row>
      </sheetData>
      <sheetData sheetId="14"/>
      <sheetData sheetId="15"/>
      <sheetData sheetId="16">
        <row r="42">
          <cell r="K42">
            <v>20553.983233636332</v>
          </cell>
        </row>
      </sheetData>
      <sheetData sheetId="17">
        <row r="17">
          <cell r="K17">
            <v>1177.7581370070111</v>
          </cell>
        </row>
      </sheetData>
      <sheetData sheetId="18"/>
      <sheetData sheetId="19">
        <row r="19">
          <cell r="F19">
            <v>2.3443464982300322</v>
          </cell>
        </row>
      </sheetData>
      <sheetData sheetId="20"/>
      <sheetData sheetId="21"/>
      <sheetData sheetId="22"/>
      <sheetData sheetId="23">
        <row r="19">
          <cell r="L19">
            <v>1.7827949547141397E-2</v>
          </cell>
        </row>
      </sheetData>
      <sheetData sheetId="24"/>
      <sheetData sheetId="25"/>
      <sheetData sheetId="26"/>
      <sheetData sheetId="27">
        <row r="17">
          <cell r="L17">
            <v>19411.451970000002</v>
          </cell>
        </row>
      </sheetData>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d"/>
      <sheetName val="Ram"/>
    </sheetNames>
    <sheetDataSet>
      <sheetData sheetId="0" refreshError="1"/>
      <sheetData sheetId="1" refreshError="1"/>
      <sheetData sheetId="2">
        <row r="5">
          <cell r="D5" t="str">
            <v>Pan-PanII</v>
          </cell>
          <cell r="G5">
            <v>12.94</v>
          </cell>
          <cell r="H5">
            <v>350</v>
          </cell>
        </row>
        <row r="6">
          <cell r="D6" t="str">
            <v>Pan-PanII</v>
          </cell>
          <cell r="G6">
            <v>12.94</v>
          </cell>
          <cell r="H6">
            <v>350</v>
          </cell>
        </row>
        <row r="7">
          <cell r="D7" t="str">
            <v>Pan-Cho</v>
          </cell>
          <cell r="G7">
            <v>39</v>
          </cell>
          <cell r="H7">
            <v>247</v>
          </cell>
        </row>
        <row r="8">
          <cell r="D8" t="str">
            <v>Pan-Cho</v>
          </cell>
          <cell r="G8">
            <v>39</v>
          </cell>
          <cell r="H8">
            <v>247</v>
          </cell>
        </row>
        <row r="9">
          <cell r="D9" t="str">
            <v>Pan-Cac</v>
          </cell>
          <cell r="G9">
            <v>0.8</v>
          </cell>
          <cell r="H9">
            <v>120</v>
          </cell>
        </row>
        <row r="10">
          <cell r="D10" t="str">
            <v>Pan-Cac</v>
          </cell>
          <cell r="G10">
            <v>0.8</v>
          </cell>
          <cell r="H10">
            <v>142</v>
          </cell>
        </row>
        <row r="11">
          <cell r="D11" t="str">
            <v>Pan-Chi</v>
          </cell>
          <cell r="G11">
            <v>22.6</v>
          </cell>
          <cell r="H11">
            <v>93</v>
          </cell>
        </row>
        <row r="12">
          <cell r="D12" t="str">
            <v>Pan-Sma</v>
          </cell>
          <cell r="G12">
            <v>1.4</v>
          </cell>
          <cell r="H12">
            <v>93</v>
          </cell>
        </row>
        <row r="13">
          <cell r="D13" t="str">
            <v>Pan-Cpa</v>
          </cell>
          <cell r="G13">
            <v>39</v>
          </cell>
          <cell r="H13">
            <v>93</v>
          </cell>
        </row>
        <row r="14">
          <cell r="D14" t="str">
            <v>PanII-PanII115</v>
          </cell>
          <cell r="G14">
            <v>0</v>
          </cell>
          <cell r="H14">
            <v>175</v>
          </cell>
        </row>
        <row r="15">
          <cell r="D15" t="str">
            <v>PanII-Pac</v>
          </cell>
          <cell r="G15">
            <v>19</v>
          </cell>
          <cell r="H15">
            <v>186</v>
          </cell>
        </row>
        <row r="16">
          <cell r="D16" t="str">
            <v>PanII-Eco</v>
          </cell>
          <cell r="G16">
            <v>135</v>
          </cell>
          <cell r="H16">
            <v>275</v>
          </cell>
        </row>
        <row r="17">
          <cell r="D17" t="str">
            <v>PanII-Eco</v>
          </cell>
          <cell r="G17">
            <v>135</v>
          </cell>
          <cell r="H17">
            <v>275</v>
          </cell>
        </row>
        <row r="18">
          <cell r="D18" t="str">
            <v>PanII-24Dic</v>
          </cell>
          <cell r="G18">
            <v>9</v>
          </cell>
          <cell r="H18">
            <v>186</v>
          </cell>
        </row>
        <row r="19">
          <cell r="D19" t="str">
            <v>PanII-Sri</v>
          </cell>
          <cell r="G19">
            <v>48</v>
          </cell>
          <cell r="H19">
            <v>200</v>
          </cell>
        </row>
        <row r="20">
          <cell r="D20" t="str">
            <v>PanII-Sri</v>
          </cell>
          <cell r="G20">
            <v>48</v>
          </cell>
          <cell r="H20">
            <v>200</v>
          </cell>
        </row>
        <row r="21">
          <cell r="D21" t="str">
            <v>Cho-Elh</v>
          </cell>
          <cell r="G21">
            <v>82.5</v>
          </cell>
          <cell r="H21">
            <v>247</v>
          </cell>
        </row>
        <row r="22">
          <cell r="D22" t="str">
            <v>Cho-Elh</v>
          </cell>
          <cell r="G22">
            <v>82.5</v>
          </cell>
          <cell r="H22">
            <v>247</v>
          </cell>
        </row>
        <row r="23">
          <cell r="D23" t="str">
            <v>Lsa-Sba</v>
          </cell>
          <cell r="G23">
            <v>70.5</v>
          </cell>
          <cell r="H23">
            <v>275</v>
          </cell>
        </row>
        <row r="24">
          <cell r="D24" t="str">
            <v>Lsa-Sba</v>
          </cell>
          <cell r="G24">
            <v>70.5</v>
          </cell>
          <cell r="H24">
            <v>275</v>
          </cell>
        </row>
        <row r="25">
          <cell r="D25" t="str">
            <v>Lsa-Vel</v>
          </cell>
          <cell r="G25">
            <v>109.36</v>
          </cell>
          <cell r="H25">
            <v>247</v>
          </cell>
        </row>
        <row r="26">
          <cell r="D26" t="str">
            <v>Lsa-Bbl</v>
          </cell>
          <cell r="G26">
            <v>100.73</v>
          </cell>
          <cell r="H26">
            <v>247</v>
          </cell>
        </row>
        <row r="27">
          <cell r="D27" t="str">
            <v>Lsa-Elh</v>
          </cell>
          <cell r="G27">
            <v>59.7</v>
          </cell>
          <cell r="H27">
            <v>247</v>
          </cell>
        </row>
        <row r="28">
          <cell r="D28" t="str">
            <v>Lsa-Elh</v>
          </cell>
          <cell r="G28">
            <v>59.7</v>
          </cell>
          <cell r="H28">
            <v>247</v>
          </cell>
        </row>
        <row r="29">
          <cell r="D29" t="str">
            <v>Lsa-Eco</v>
          </cell>
          <cell r="G29">
            <v>60</v>
          </cell>
          <cell r="H29">
            <v>275</v>
          </cell>
        </row>
        <row r="30">
          <cell r="D30" t="str">
            <v>Lsa-Eco</v>
          </cell>
          <cell r="G30">
            <v>60</v>
          </cell>
          <cell r="H30">
            <v>275</v>
          </cell>
        </row>
        <row r="31">
          <cell r="D31" t="str">
            <v>Lsa Transfo</v>
          </cell>
          <cell r="G31">
            <v>0</v>
          </cell>
          <cell r="H31">
            <v>70</v>
          </cell>
        </row>
        <row r="32">
          <cell r="D32" t="str">
            <v>Lsa Transfo</v>
          </cell>
          <cell r="G32">
            <v>0</v>
          </cell>
          <cell r="H32">
            <v>70</v>
          </cell>
        </row>
        <row r="33">
          <cell r="D33" t="str">
            <v>Lsa Transfo</v>
          </cell>
          <cell r="G33">
            <v>0</v>
          </cell>
          <cell r="H33">
            <v>70</v>
          </cell>
        </row>
        <row r="34">
          <cell r="D34" t="str">
            <v>Mdn-Pro</v>
          </cell>
          <cell r="G34">
            <v>54</v>
          </cell>
          <cell r="H34">
            <v>400</v>
          </cell>
        </row>
        <row r="35">
          <cell r="D35" t="str">
            <v>Mdn-For</v>
          </cell>
          <cell r="G35">
            <v>37.5</v>
          </cell>
          <cell r="H35">
            <v>193</v>
          </cell>
        </row>
        <row r="36">
          <cell r="D36" t="str">
            <v>Mdn-For</v>
          </cell>
          <cell r="G36">
            <v>37.5</v>
          </cell>
          <cell r="H36">
            <v>193</v>
          </cell>
        </row>
        <row r="37">
          <cell r="D37" t="str">
            <v>Mdn-Vel</v>
          </cell>
          <cell r="G37">
            <v>84.49</v>
          </cell>
          <cell r="H37">
            <v>350</v>
          </cell>
        </row>
        <row r="38">
          <cell r="D38" t="str">
            <v>Mdn-Vel</v>
          </cell>
          <cell r="G38">
            <v>84.49</v>
          </cell>
          <cell r="H38">
            <v>350</v>
          </cell>
        </row>
        <row r="39">
          <cell r="D39" t="str">
            <v>Mdn-BoqIII</v>
          </cell>
          <cell r="G39">
            <v>27</v>
          </cell>
          <cell r="H39">
            <v>400</v>
          </cell>
        </row>
        <row r="40">
          <cell r="D40" t="str">
            <v>Mdn Tranfo</v>
          </cell>
          <cell r="G40">
            <v>0</v>
          </cell>
          <cell r="H40">
            <v>70</v>
          </cell>
        </row>
        <row r="41">
          <cell r="D41" t="str">
            <v>Mdn-Cal</v>
          </cell>
          <cell r="G41">
            <v>25</v>
          </cell>
          <cell r="H41">
            <v>93</v>
          </cell>
        </row>
        <row r="42">
          <cell r="D42" t="str">
            <v>Mdn-Cal</v>
          </cell>
          <cell r="G42">
            <v>25</v>
          </cell>
          <cell r="H42">
            <v>93</v>
          </cell>
        </row>
        <row r="43">
          <cell r="D43" t="str">
            <v>Mdn Tranfo</v>
          </cell>
          <cell r="G43">
            <v>0</v>
          </cell>
          <cell r="H43">
            <v>70</v>
          </cell>
        </row>
        <row r="44">
          <cell r="D44" t="str">
            <v>Mdn Tranfo</v>
          </cell>
          <cell r="G44">
            <v>0</v>
          </cell>
          <cell r="H44">
            <v>70</v>
          </cell>
        </row>
        <row r="45">
          <cell r="D45" t="str">
            <v>Pro-BoqIII</v>
          </cell>
          <cell r="G45">
            <v>27</v>
          </cell>
          <cell r="H45">
            <v>400</v>
          </cell>
        </row>
        <row r="46">
          <cell r="D46" t="str">
            <v>Cac-Sma</v>
          </cell>
          <cell r="G46">
            <v>1</v>
          </cell>
          <cell r="H46">
            <v>97</v>
          </cell>
        </row>
        <row r="47">
          <cell r="D47" t="str">
            <v>Cac-Sri</v>
          </cell>
          <cell r="G47">
            <v>46.6</v>
          </cell>
          <cell r="H47">
            <v>150</v>
          </cell>
        </row>
        <row r="48">
          <cell r="D48" t="str">
            <v>Cac-Sri</v>
          </cell>
          <cell r="G48">
            <v>46.6</v>
          </cell>
          <cell r="H48">
            <v>150</v>
          </cell>
        </row>
        <row r="49">
          <cell r="D49" t="str">
            <v>Chi-LM2</v>
          </cell>
          <cell r="G49">
            <v>31.5</v>
          </cell>
          <cell r="H49">
            <v>93</v>
          </cell>
        </row>
        <row r="50">
          <cell r="D50" t="str">
            <v>LM1-LMD</v>
          </cell>
          <cell r="G50">
            <v>0.25</v>
          </cell>
          <cell r="H50">
            <v>90.6</v>
          </cell>
        </row>
        <row r="51">
          <cell r="D51" t="str">
            <v>LM1-Sri</v>
          </cell>
          <cell r="G51">
            <v>6.2</v>
          </cell>
          <cell r="H51">
            <v>150</v>
          </cell>
        </row>
        <row r="52">
          <cell r="D52" t="str">
            <v>LM1-Cat</v>
          </cell>
          <cell r="G52">
            <v>7.4999999999999997E-2</v>
          </cell>
          <cell r="H52">
            <v>258.94</v>
          </cell>
        </row>
        <row r="53">
          <cell r="D53" t="str">
            <v>LM1-CatII</v>
          </cell>
          <cell r="G53">
            <v>0.8</v>
          </cell>
          <cell r="H53">
            <v>150</v>
          </cell>
        </row>
        <row r="54">
          <cell r="D54" t="str">
            <v>LM2-LMD</v>
          </cell>
          <cell r="G54">
            <v>0.25</v>
          </cell>
          <cell r="H54">
            <v>90.6</v>
          </cell>
        </row>
        <row r="55">
          <cell r="D55" t="str">
            <v>LM2-Cpa</v>
          </cell>
          <cell r="G55">
            <v>15</v>
          </cell>
          <cell r="H55">
            <v>93</v>
          </cell>
        </row>
        <row r="56">
          <cell r="D56" t="str">
            <v>LM2-Cat</v>
          </cell>
          <cell r="G56">
            <v>7.4999999999999997E-2</v>
          </cell>
          <cell r="H56">
            <v>258.94</v>
          </cell>
        </row>
        <row r="57">
          <cell r="D57" t="str">
            <v>Cal-Les</v>
          </cell>
          <cell r="G57">
            <v>5.8</v>
          </cell>
          <cell r="H57">
            <v>93</v>
          </cell>
        </row>
        <row r="58">
          <cell r="D58" t="str">
            <v>Cal-Lva</v>
          </cell>
          <cell r="G58">
            <v>2</v>
          </cell>
          <cell r="H58">
            <v>93</v>
          </cell>
        </row>
        <row r="59">
          <cell r="D59" t="str">
            <v>Cal Transfo</v>
          </cell>
          <cell r="G59">
            <v>0</v>
          </cell>
          <cell r="H59">
            <v>62.5</v>
          </cell>
        </row>
        <row r="60">
          <cell r="D60" t="str">
            <v>For-Gua</v>
          </cell>
          <cell r="G60">
            <v>16</v>
          </cell>
          <cell r="H60">
            <v>276</v>
          </cell>
        </row>
        <row r="61">
          <cell r="D61" t="str">
            <v>For-Esp</v>
          </cell>
          <cell r="G61">
            <v>97.55</v>
          </cell>
          <cell r="H61">
            <v>304</v>
          </cell>
        </row>
        <row r="62">
          <cell r="D62" t="str">
            <v>Bay-Pac</v>
          </cell>
          <cell r="G62">
            <v>49.14</v>
          </cell>
          <cell r="H62">
            <v>186</v>
          </cell>
        </row>
        <row r="63">
          <cell r="D63" t="str">
            <v>Bay-24Dic</v>
          </cell>
          <cell r="G63">
            <v>58.4</v>
          </cell>
          <cell r="H63">
            <v>186</v>
          </cell>
        </row>
        <row r="64">
          <cell r="D64" t="str">
            <v>Sri-CatII</v>
          </cell>
          <cell r="G64">
            <v>6.2</v>
          </cell>
          <cell r="H64">
            <v>150</v>
          </cell>
        </row>
        <row r="65">
          <cell r="D65" t="str">
            <v>Gua-Vel</v>
          </cell>
          <cell r="G65">
            <v>84.3</v>
          </cell>
          <cell r="H65">
            <v>275</v>
          </cell>
        </row>
        <row r="66">
          <cell r="D66" t="str">
            <v>Gua-Vel</v>
          </cell>
          <cell r="G66">
            <v>84.3</v>
          </cell>
          <cell r="H66">
            <v>275</v>
          </cell>
        </row>
        <row r="67">
          <cell r="D67" t="str">
            <v>Gua-Can</v>
          </cell>
          <cell r="G67">
            <v>44</v>
          </cell>
          <cell r="H67">
            <v>276</v>
          </cell>
        </row>
        <row r="68">
          <cell r="D68" t="str">
            <v>Vel-Dom</v>
          </cell>
          <cell r="G68">
            <v>133</v>
          </cell>
          <cell r="H68">
            <v>300</v>
          </cell>
        </row>
        <row r="69">
          <cell r="D69" t="str">
            <v>Vel-Sba</v>
          </cell>
          <cell r="G69">
            <v>39.57</v>
          </cell>
          <cell r="H69">
            <v>275</v>
          </cell>
        </row>
        <row r="70">
          <cell r="D70" t="str">
            <v>Vel-Sba</v>
          </cell>
          <cell r="G70">
            <v>39.57</v>
          </cell>
          <cell r="H70">
            <v>275</v>
          </cell>
        </row>
        <row r="71">
          <cell r="D71" t="str">
            <v>Vel-Bbl</v>
          </cell>
          <cell r="G71">
            <v>8.64</v>
          </cell>
          <cell r="H71">
            <v>247</v>
          </cell>
        </row>
        <row r="72">
          <cell r="D72" t="str">
            <v>Cha Transfo</v>
          </cell>
          <cell r="G72">
            <v>0</v>
          </cell>
          <cell r="H72">
            <v>50</v>
          </cell>
        </row>
        <row r="73">
          <cell r="D73" t="str">
            <v>Cha-Esp</v>
          </cell>
          <cell r="G73">
            <v>24.11</v>
          </cell>
          <cell r="H73">
            <v>304</v>
          </cell>
        </row>
        <row r="74">
          <cell r="D74" t="str">
            <v>Cha-Can</v>
          </cell>
          <cell r="G74">
            <v>76.650000000000006</v>
          </cell>
          <cell r="H74">
            <v>304</v>
          </cell>
        </row>
        <row r="75">
          <cell r="D75" t="str">
            <v>Cha-Frn2</v>
          </cell>
          <cell r="G75">
            <v>15</v>
          </cell>
          <cell r="H75">
            <v>304</v>
          </cell>
        </row>
        <row r="76">
          <cell r="D76" t="str">
            <v>BoqIII Transfo 1</v>
          </cell>
          <cell r="G76">
            <v>0</v>
          </cell>
          <cell r="H76">
            <v>83.3</v>
          </cell>
        </row>
        <row r="77">
          <cell r="D77" t="str">
            <v>BoqIII Transfo 2</v>
          </cell>
          <cell r="G77">
            <v>0</v>
          </cell>
          <cell r="H77">
            <v>83.3</v>
          </cell>
        </row>
        <row r="78">
          <cell r="D78" t="str">
            <v>Frn3-Dom</v>
          </cell>
          <cell r="G78">
            <v>17</v>
          </cell>
          <cell r="H78">
            <v>300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d"/>
      <sheetName val="Ram"/>
    </sheetNames>
    <sheetDataSet>
      <sheetData sheetId="0" refreshError="1"/>
      <sheetData sheetId="1" refreshError="1"/>
      <sheetData sheetId="2">
        <row r="4">
          <cell r="D4" t="str">
            <v>Pan-PanII</v>
          </cell>
          <cell r="G4">
            <v>12.94</v>
          </cell>
          <cell r="H4">
            <v>350</v>
          </cell>
        </row>
        <row r="5">
          <cell r="D5" t="str">
            <v>Pan-Cho</v>
          </cell>
          <cell r="G5">
            <v>39</v>
          </cell>
          <cell r="H5">
            <v>247</v>
          </cell>
        </row>
        <row r="6">
          <cell r="D6" t="str">
            <v>Pan-Cho</v>
          </cell>
          <cell r="G6">
            <v>39</v>
          </cell>
          <cell r="H6">
            <v>247</v>
          </cell>
        </row>
        <row r="7">
          <cell r="D7" t="str">
            <v>Pan-Cac</v>
          </cell>
          <cell r="G7">
            <v>0.8</v>
          </cell>
          <cell r="H7">
            <v>120</v>
          </cell>
        </row>
        <row r="8">
          <cell r="D8" t="str">
            <v>Pan-Cac</v>
          </cell>
          <cell r="G8">
            <v>0.8</v>
          </cell>
          <cell r="H8">
            <v>142</v>
          </cell>
        </row>
        <row r="9">
          <cell r="D9" t="str">
            <v>Pan-Chi</v>
          </cell>
          <cell r="G9">
            <v>22.6</v>
          </cell>
          <cell r="H9">
            <v>93</v>
          </cell>
        </row>
        <row r="10">
          <cell r="D10" t="str">
            <v>Pan-Sma</v>
          </cell>
          <cell r="G10">
            <v>1.4</v>
          </cell>
          <cell r="H10">
            <v>93</v>
          </cell>
        </row>
        <row r="11">
          <cell r="D11" t="str">
            <v>Pan-Cpa</v>
          </cell>
          <cell r="G11">
            <v>39</v>
          </cell>
          <cell r="H11">
            <v>93</v>
          </cell>
        </row>
        <row r="12">
          <cell r="D12" t="str">
            <v>PanII-Pac</v>
          </cell>
          <cell r="G12">
            <v>19</v>
          </cell>
          <cell r="H12">
            <v>186</v>
          </cell>
        </row>
        <row r="13">
          <cell r="D13" t="str">
            <v>PanII-Eco</v>
          </cell>
          <cell r="G13">
            <v>135</v>
          </cell>
          <cell r="H13">
            <v>275</v>
          </cell>
        </row>
        <row r="14">
          <cell r="D14" t="str">
            <v>PanII-Eco</v>
          </cell>
          <cell r="G14">
            <v>135</v>
          </cell>
          <cell r="H14">
            <v>275</v>
          </cell>
        </row>
        <row r="15">
          <cell r="D15" t="str">
            <v>PanII-24Dic</v>
          </cell>
          <cell r="G15">
            <v>9</v>
          </cell>
          <cell r="H15">
            <v>186</v>
          </cell>
        </row>
        <row r="16">
          <cell r="D16" t="str">
            <v>PanII-Sri</v>
          </cell>
          <cell r="G16">
            <v>48</v>
          </cell>
          <cell r="H16">
            <v>200</v>
          </cell>
        </row>
        <row r="17">
          <cell r="D17" t="str">
            <v>PanII-Sri</v>
          </cell>
          <cell r="G17">
            <v>48</v>
          </cell>
          <cell r="H17">
            <v>200</v>
          </cell>
        </row>
        <row r="18">
          <cell r="D18" t="str">
            <v>Cho-Lsa</v>
          </cell>
          <cell r="G18">
            <v>142.19</v>
          </cell>
          <cell r="H18">
            <v>247</v>
          </cell>
        </row>
        <row r="19">
          <cell r="D19" t="str">
            <v>Cho-Pam</v>
          </cell>
          <cell r="G19">
            <v>0.6</v>
          </cell>
          <cell r="H19">
            <v>193</v>
          </cell>
        </row>
        <row r="20">
          <cell r="D20" t="str">
            <v>Cho-Elh</v>
          </cell>
          <cell r="G20">
            <v>82.5</v>
          </cell>
          <cell r="H20">
            <v>247</v>
          </cell>
        </row>
        <row r="21">
          <cell r="D21" t="str">
            <v>Lsa-Vel</v>
          </cell>
          <cell r="G21">
            <v>110.07</v>
          </cell>
          <cell r="H21">
            <v>275</v>
          </cell>
        </row>
        <row r="22">
          <cell r="D22" t="str">
            <v>Lsa-Vel</v>
          </cell>
          <cell r="G22">
            <v>110.07</v>
          </cell>
          <cell r="H22">
            <v>275</v>
          </cell>
        </row>
        <row r="23">
          <cell r="D23" t="str">
            <v>Lsa-Vel</v>
          </cell>
          <cell r="G23">
            <v>109.36</v>
          </cell>
          <cell r="H23">
            <v>247</v>
          </cell>
        </row>
        <row r="24">
          <cell r="D24" t="str">
            <v>Lsa-Vel</v>
          </cell>
          <cell r="G24">
            <v>109.36</v>
          </cell>
          <cell r="H24">
            <v>247</v>
          </cell>
        </row>
        <row r="25">
          <cell r="D25" t="str">
            <v>Lsa-Elh</v>
          </cell>
          <cell r="G25">
            <v>59.7</v>
          </cell>
          <cell r="H25">
            <v>247</v>
          </cell>
        </row>
        <row r="26">
          <cell r="D26" t="str">
            <v>Lsa-Eco</v>
          </cell>
          <cell r="G26">
            <v>60</v>
          </cell>
          <cell r="H26">
            <v>275</v>
          </cell>
        </row>
        <row r="27">
          <cell r="D27" t="str">
            <v>Lsa-Eco</v>
          </cell>
          <cell r="G27">
            <v>60</v>
          </cell>
          <cell r="H27">
            <v>275</v>
          </cell>
        </row>
        <row r="28">
          <cell r="D28" t="str">
            <v>Mdn-For</v>
          </cell>
          <cell r="G28">
            <v>37.5</v>
          </cell>
          <cell r="H28">
            <v>193</v>
          </cell>
        </row>
        <row r="29">
          <cell r="D29" t="str">
            <v>Mdn-For</v>
          </cell>
          <cell r="G29">
            <v>37.5</v>
          </cell>
          <cell r="H29">
            <v>193</v>
          </cell>
        </row>
        <row r="30">
          <cell r="D30" t="str">
            <v>Mdn-Vel</v>
          </cell>
          <cell r="G30">
            <v>84.49</v>
          </cell>
          <cell r="H30">
            <v>350</v>
          </cell>
        </row>
        <row r="31">
          <cell r="D31" t="str">
            <v>Mdn-Vel</v>
          </cell>
          <cell r="G31">
            <v>84.49</v>
          </cell>
          <cell r="H31">
            <v>350</v>
          </cell>
        </row>
        <row r="32">
          <cell r="D32" t="str">
            <v>Mdn-BoqIII</v>
          </cell>
          <cell r="G32">
            <v>27</v>
          </cell>
          <cell r="H32">
            <v>193</v>
          </cell>
        </row>
        <row r="33">
          <cell r="D33" t="str">
            <v>Mdn-Cal</v>
          </cell>
          <cell r="G33">
            <v>25</v>
          </cell>
          <cell r="H33">
            <v>93</v>
          </cell>
        </row>
        <row r="34">
          <cell r="D34" t="str">
            <v>Mdn-Cal</v>
          </cell>
          <cell r="G34">
            <v>25</v>
          </cell>
          <cell r="H34">
            <v>93</v>
          </cell>
        </row>
        <row r="35">
          <cell r="D35" t="str">
            <v>Pro-Bai</v>
          </cell>
          <cell r="G35">
            <v>29</v>
          </cell>
          <cell r="H35">
            <v>193</v>
          </cell>
        </row>
        <row r="36">
          <cell r="D36" t="str">
            <v>Pro-Bai</v>
          </cell>
          <cell r="G36">
            <v>29</v>
          </cell>
          <cell r="H36">
            <v>193</v>
          </cell>
        </row>
        <row r="37">
          <cell r="D37" t="str">
            <v>Pro-BoqIII</v>
          </cell>
          <cell r="G37">
            <v>27</v>
          </cell>
          <cell r="H37">
            <v>193</v>
          </cell>
        </row>
        <row r="38">
          <cell r="D38" t="str">
            <v>Cac-MirA</v>
          </cell>
          <cell r="G38">
            <v>9</v>
          </cell>
          <cell r="H38">
            <v>100</v>
          </cell>
        </row>
        <row r="39">
          <cell r="D39" t="str">
            <v>Cac-Sri</v>
          </cell>
          <cell r="G39">
            <v>46.6</v>
          </cell>
          <cell r="H39">
            <v>150</v>
          </cell>
        </row>
        <row r="40">
          <cell r="D40" t="str">
            <v>Cac-Sri</v>
          </cell>
          <cell r="G40">
            <v>46.6</v>
          </cell>
          <cell r="H40">
            <v>150</v>
          </cell>
        </row>
        <row r="41">
          <cell r="D41" t="str">
            <v>Chi-LM2</v>
          </cell>
          <cell r="G41">
            <v>31.5</v>
          </cell>
          <cell r="H41">
            <v>93</v>
          </cell>
        </row>
        <row r="42">
          <cell r="D42" t="str">
            <v>Sma-MirB</v>
          </cell>
          <cell r="G42">
            <v>9.8000000000000007</v>
          </cell>
          <cell r="H42">
            <v>97</v>
          </cell>
        </row>
        <row r="43">
          <cell r="D43" t="str">
            <v>LM1-Frf</v>
          </cell>
          <cell r="G43">
            <v>9.1</v>
          </cell>
          <cell r="H43">
            <v>93</v>
          </cell>
        </row>
        <row r="44">
          <cell r="D44" t="str">
            <v>LM1-Frf</v>
          </cell>
          <cell r="G44">
            <v>9.1</v>
          </cell>
          <cell r="H44">
            <v>93</v>
          </cell>
        </row>
        <row r="45">
          <cell r="D45" t="str">
            <v>LM1-LMD</v>
          </cell>
          <cell r="G45">
            <v>0.25</v>
          </cell>
          <cell r="H45">
            <v>90.6</v>
          </cell>
        </row>
        <row r="46">
          <cell r="D46" t="str">
            <v>LM1-Sri</v>
          </cell>
          <cell r="G46">
            <v>6.2</v>
          </cell>
          <cell r="H46">
            <v>150</v>
          </cell>
        </row>
        <row r="47">
          <cell r="D47" t="str">
            <v>LM1-Cat</v>
          </cell>
          <cell r="G47">
            <v>7.4999999999999997E-2</v>
          </cell>
          <cell r="H47">
            <v>258.94</v>
          </cell>
        </row>
        <row r="48">
          <cell r="D48" t="str">
            <v>LM1-CatII</v>
          </cell>
          <cell r="G48">
            <v>0.8</v>
          </cell>
          <cell r="H48">
            <v>150</v>
          </cell>
        </row>
        <row r="49">
          <cell r="D49" t="str">
            <v>LM2-LMD</v>
          </cell>
          <cell r="G49">
            <v>0.25</v>
          </cell>
          <cell r="H49">
            <v>90.6</v>
          </cell>
        </row>
        <row r="50">
          <cell r="D50" t="str">
            <v>LM2-Cpa</v>
          </cell>
          <cell r="G50">
            <v>15</v>
          </cell>
          <cell r="H50">
            <v>93</v>
          </cell>
        </row>
        <row r="51">
          <cell r="D51" t="str">
            <v>LM2-Cat</v>
          </cell>
          <cell r="G51">
            <v>7.4999999999999997E-2</v>
          </cell>
          <cell r="H51">
            <v>258.94</v>
          </cell>
        </row>
        <row r="52">
          <cell r="D52" t="str">
            <v>Cal-Les</v>
          </cell>
          <cell r="G52">
            <v>5.8</v>
          </cell>
          <cell r="H52">
            <v>93</v>
          </cell>
        </row>
        <row r="53">
          <cell r="D53" t="str">
            <v>Cal-Lva</v>
          </cell>
          <cell r="G53">
            <v>2</v>
          </cell>
          <cell r="H53">
            <v>93</v>
          </cell>
        </row>
        <row r="54">
          <cell r="D54" t="str">
            <v>For-Gua</v>
          </cell>
          <cell r="G54">
            <v>16</v>
          </cell>
          <cell r="H54">
            <v>276</v>
          </cell>
        </row>
        <row r="55">
          <cell r="D55" t="str">
            <v>For-Esp</v>
          </cell>
          <cell r="G55">
            <v>97.55</v>
          </cell>
          <cell r="H55">
            <v>304</v>
          </cell>
        </row>
        <row r="56">
          <cell r="D56" t="str">
            <v>Bay-Pac</v>
          </cell>
          <cell r="G56">
            <v>49.14</v>
          </cell>
          <cell r="H56">
            <v>186</v>
          </cell>
        </row>
        <row r="57">
          <cell r="D57" t="str">
            <v>Bay-24Dic</v>
          </cell>
          <cell r="G57">
            <v>58.4</v>
          </cell>
          <cell r="H57">
            <v>186</v>
          </cell>
        </row>
        <row r="58">
          <cell r="D58" t="str">
            <v>Cpa-Gir</v>
          </cell>
          <cell r="G58">
            <v>2.2999999999999998</v>
          </cell>
          <cell r="H58">
            <v>159</v>
          </cell>
        </row>
        <row r="59">
          <cell r="D59" t="str">
            <v>Sri-CatII</v>
          </cell>
          <cell r="G59">
            <v>6.2</v>
          </cell>
          <cell r="H59">
            <v>150</v>
          </cell>
        </row>
        <row r="60">
          <cell r="D60" t="str">
            <v>Est-Gua</v>
          </cell>
          <cell r="G60">
            <v>0.5</v>
          </cell>
          <cell r="H60">
            <v>193</v>
          </cell>
        </row>
        <row r="61">
          <cell r="D61" t="str">
            <v>Gua-Vel</v>
          </cell>
          <cell r="G61">
            <v>84.3</v>
          </cell>
          <cell r="H61">
            <v>275</v>
          </cell>
        </row>
        <row r="62">
          <cell r="D62" t="str">
            <v>Gua-Vel</v>
          </cell>
          <cell r="G62">
            <v>84.3</v>
          </cell>
          <cell r="H62">
            <v>275</v>
          </cell>
        </row>
        <row r="63">
          <cell r="D63" t="str">
            <v>Gua-Can</v>
          </cell>
          <cell r="G63">
            <v>44</v>
          </cell>
          <cell r="H63">
            <v>276</v>
          </cell>
        </row>
        <row r="64">
          <cell r="D64" t="str">
            <v>Gua-Gla</v>
          </cell>
          <cell r="G64">
            <v>6</v>
          </cell>
          <cell r="H64">
            <v>131</v>
          </cell>
        </row>
        <row r="65">
          <cell r="D65" t="str">
            <v>Vel-Dom</v>
          </cell>
          <cell r="G65">
            <v>133</v>
          </cell>
          <cell r="H65">
            <v>300</v>
          </cell>
        </row>
        <row r="66">
          <cell r="D66" t="str">
            <v>Cha-Esp</v>
          </cell>
          <cell r="G66">
            <v>24.11</v>
          </cell>
          <cell r="H66">
            <v>304</v>
          </cell>
        </row>
        <row r="67">
          <cell r="D67" t="str">
            <v>Cha-Can</v>
          </cell>
          <cell r="G67">
            <v>76.650000000000006</v>
          </cell>
          <cell r="H67">
            <v>304</v>
          </cell>
        </row>
        <row r="68">
          <cell r="D68" t="str">
            <v>Cha-Frn2</v>
          </cell>
          <cell r="G68">
            <v>15</v>
          </cell>
          <cell r="H68">
            <v>304</v>
          </cell>
        </row>
        <row r="69">
          <cell r="D69" t="str">
            <v>Bai-Bam</v>
          </cell>
          <cell r="G69">
            <v>8.8699999999999992</v>
          </cell>
          <cell r="H69">
            <v>93</v>
          </cell>
        </row>
        <row r="70">
          <cell r="D70" t="str">
            <v>Bam-San</v>
          </cell>
          <cell r="G70">
            <v>1.8</v>
          </cell>
          <cell r="H70">
            <v>93</v>
          </cell>
        </row>
        <row r="71">
          <cell r="D71" t="str">
            <v>Gla-Zam</v>
          </cell>
          <cell r="G71">
            <v>8</v>
          </cell>
          <cell r="H71">
            <v>131</v>
          </cell>
        </row>
        <row r="72">
          <cell r="D72" t="str">
            <v>Zam-Eva</v>
          </cell>
          <cell r="G72">
            <v>7</v>
          </cell>
          <cell r="H72">
            <v>131</v>
          </cell>
        </row>
        <row r="73">
          <cell r="D73" t="str">
            <v>Frn3-Dom</v>
          </cell>
          <cell r="G73">
            <v>17</v>
          </cell>
          <cell r="H73">
            <v>300</v>
          </cell>
        </row>
        <row r="74">
          <cell r="D74" t="str">
            <v>Dom-Pdo</v>
          </cell>
          <cell r="G74">
            <v>17.5</v>
          </cell>
          <cell r="H74">
            <v>374</v>
          </cell>
        </row>
        <row r="75">
          <cell r="D75" t="str">
            <v>Dom-Mli</v>
          </cell>
          <cell r="G75">
            <v>11.7</v>
          </cell>
          <cell r="H75">
            <v>374</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io"/>
      <sheetName val="Agosto"/>
      <sheetName val="Septiembre"/>
      <sheetName val="Octubre"/>
      <sheetName val="Noviembre"/>
      <sheetName val="Diciembre"/>
      <sheetName val="Julio-Diciembre"/>
    </sheetNames>
    <sheetDataSet>
      <sheetData sheetId="0" refreshError="1">
        <row r="7">
          <cell r="A7" t="str">
            <v>CARGO POR  CONEXIÓN</v>
          </cell>
        </row>
        <row r="8">
          <cell r="A8" t="str">
            <v>CXS34.5 Barra Sencilla</v>
          </cell>
          <cell r="B8">
            <v>2</v>
          </cell>
          <cell r="C8">
            <v>28.42</v>
          </cell>
          <cell r="D8">
            <v>4736.67</v>
          </cell>
        </row>
        <row r="9">
          <cell r="A9" t="str">
            <v>CXS34.5 Interruptor y Medio</v>
          </cell>
          <cell r="B9">
            <v>6</v>
          </cell>
          <cell r="C9">
            <v>46.46</v>
          </cell>
          <cell r="D9">
            <v>23230</v>
          </cell>
        </row>
        <row r="10">
          <cell r="A10" t="str">
            <v>CXS115 Interruptor y Medio</v>
          </cell>
          <cell r="B10">
            <v>4</v>
          </cell>
          <cell r="C10">
            <v>106.78</v>
          </cell>
          <cell r="D10">
            <v>35593.33</v>
          </cell>
        </row>
        <row r="11">
          <cell r="A11" t="str">
            <v>CXS230 Interruptor y Medio</v>
          </cell>
          <cell r="B11">
            <v>2</v>
          </cell>
          <cell r="C11">
            <v>156.07</v>
          </cell>
          <cell r="D11">
            <v>26011.67</v>
          </cell>
        </row>
        <row r="12">
          <cell r="A12" t="str">
            <v>CXTR Reductor 42/56/70 MVA</v>
          </cell>
          <cell r="B12">
            <v>140</v>
          </cell>
          <cell r="C12">
            <v>4.3600000000000003</v>
          </cell>
          <cell r="D12">
            <v>50866.67</v>
          </cell>
        </row>
        <row r="13">
          <cell r="A13" t="str">
            <v>CXTR Reductor 30/40/50 MVA</v>
          </cell>
          <cell r="B13">
            <v>100</v>
          </cell>
          <cell r="C13">
            <v>4.3499999999999996</v>
          </cell>
          <cell r="D13">
            <v>36250</v>
          </cell>
        </row>
        <row r="14">
          <cell r="A14" t="str">
            <v>CXTR Reductor 60/80/100 MVA</v>
          </cell>
          <cell r="B14">
            <v>0</v>
          </cell>
          <cell r="C14">
            <v>0</v>
          </cell>
          <cell r="D14">
            <v>0</v>
          </cell>
        </row>
        <row r="15">
          <cell r="A15" t="str">
            <v>1 IP - 230  KV</v>
          </cell>
          <cell r="B15">
            <v>1</v>
          </cell>
          <cell r="C15">
            <v>203.63</v>
          </cell>
          <cell r="D15">
            <v>16969.169999999998</v>
          </cell>
        </row>
        <row r="16">
          <cell r="A16" t="str">
            <v xml:space="preserve">CARGO POR  OPERACIÓN INTEGRADA </v>
          </cell>
        </row>
        <row r="17">
          <cell r="A17" t="str">
            <v>EDEMET Agente Consumidor</v>
          </cell>
          <cell r="B17">
            <v>677.91</v>
          </cell>
          <cell r="C17">
            <v>0.25209999999999999</v>
          </cell>
          <cell r="D17">
            <v>170901.11</v>
          </cell>
        </row>
        <row r="20">
          <cell r="A20" t="str">
            <v>ELEKTRA NORESTE, S.A. (ENSA)</v>
          </cell>
        </row>
        <row r="21">
          <cell r="A21" t="str">
            <v>CARGO POR  CONEXIÓN</v>
          </cell>
        </row>
        <row r="22">
          <cell r="A22" t="str">
            <v xml:space="preserve">CARGO POR  OPERACIÓN INTEGRADA </v>
          </cell>
        </row>
        <row r="23">
          <cell r="A23" t="str">
            <v>ELEKTRA_NE (Consumidor)</v>
          </cell>
          <cell r="B23">
            <v>511.98</v>
          </cell>
          <cell r="C23">
            <v>0.25209999999999999</v>
          </cell>
          <cell r="D23">
            <v>129070.16</v>
          </cell>
        </row>
        <row r="27">
          <cell r="A27" t="str">
            <v>CARGO POR  CONEXIÓN</v>
          </cell>
        </row>
        <row r="28">
          <cell r="A28" t="str">
            <v>CXS34.5 Interruptor y Medio</v>
          </cell>
          <cell r="B28">
            <v>8</v>
          </cell>
          <cell r="C28">
            <v>46.46</v>
          </cell>
          <cell r="D28">
            <v>30973.33</v>
          </cell>
        </row>
        <row r="29">
          <cell r="A29" t="str">
            <v>CXS115 Barra Sencilla</v>
          </cell>
          <cell r="B29">
            <v>2</v>
          </cell>
          <cell r="C29">
            <v>73.760000000000005</v>
          </cell>
          <cell r="D29">
            <v>444.58</v>
          </cell>
        </row>
        <row r="30">
          <cell r="A30" t="str">
            <v>CXL 115 KV Circuito Sencillo 636 ACSR</v>
          </cell>
          <cell r="B30">
            <v>0.5</v>
          </cell>
          <cell r="C30">
            <v>10.67</v>
          </cell>
          <cell r="D30">
            <v>12293.33</v>
          </cell>
        </row>
        <row r="31">
          <cell r="A31" t="str">
            <v>CXTR Reductor 20/24 MVA</v>
          </cell>
          <cell r="B31">
            <v>9.5928000000000004</v>
          </cell>
          <cell r="C31">
            <v>4.05</v>
          </cell>
          <cell r="D31">
            <v>3237.57</v>
          </cell>
        </row>
        <row r="32">
          <cell r="A32" t="str">
            <v>CXL 115 KV Circuito Sencillo 636 ACSR</v>
          </cell>
          <cell r="B32">
            <v>3.0960000000000001</v>
          </cell>
          <cell r="C32">
            <v>10.67</v>
          </cell>
          <cell r="D32">
            <v>2752.86</v>
          </cell>
        </row>
        <row r="33">
          <cell r="A33" t="str">
            <v xml:space="preserve">CARGO POR  OPERACIÓN INTEGRADA </v>
          </cell>
        </row>
        <row r="34">
          <cell r="A34" t="str">
            <v>EDECHI Agente Consumidor</v>
          </cell>
          <cell r="B34">
            <v>110.84</v>
          </cell>
          <cell r="C34">
            <v>0.25209999999999999</v>
          </cell>
          <cell r="D34">
            <v>27942.76</v>
          </cell>
        </row>
        <row r="35">
          <cell r="A35" t="str">
            <v xml:space="preserve">   -  Zona 10 (S/E Cañazas)</v>
          </cell>
          <cell r="B35">
            <v>21.5</v>
          </cell>
          <cell r="C35">
            <v>0.25209999999999999</v>
          </cell>
          <cell r="D35">
            <v>5420.15</v>
          </cell>
        </row>
        <row r="40">
          <cell r="A40" t="str">
            <v xml:space="preserve">CARGO POR  OPERACIÓN INTEGRADA </v>
          </cell>
        </row>
        <row r="41">
          <cell r="A41" t="str">
            <v>Fortuna (Generador)</v>
          </cell>
          <cell r="B41">
            <v>300</v>
          </cell>
          <cell r="C41">
            <v>0.1681</v>
          </cell>
          <cell r="D41">
            <v>50430</v>
          </cell>
        </row>
        <row r="45">
          <cell r="A45" t="str">
            <v xml:space="preserve">CARGO POR  CONEXIÓN </v>
          </cell>
          <cell r="B45">
            <v>0</v>
          </cell>
          <cell r="C45" t="str">
            <v xml:space="preserve"> </v>
          </cell>
        </row>
        <row r="46">
          <cell r="A46" t="str">
            <v>CXL 115 KV Circuito Sencillo L/T Caldera-LA ESTRELLA</v>
          </cell>
          <cell r="B46">
            <v>5.8</v>
          </cell>
          <cell r="C46">
            <v>10.67</v>
          </cell>
          <cell r="D46">
            <v>5157.17</v>
          </cell>
        </row>
        <row r="47">
          <cell r="A47" t="str">
            <v>CXL 115 KV Circuito Sencillo L/T Caldera-LOS VALLES</v>
          </cell>
          <cell r="B47">
            <v>2</v>
          </cell>
          <cell r="C47">
            <v>10.67</v>
          </cell>
          <cell r="D47">
            <v>1778.33</v>
          </cell>
        </row>
        <row r="48">
          <cell r="A48" t="str">
            <v xml:space="preserve">CARGO POR  OPERACIÓN INTEGRADA </v>
          </cell>
        </row>
        <row r="49">
          <cell r="A49" t="str">
            <v xml:space="preserve">   AES- Generador</v>
          </cell>
          <cell r="B49">
            <v>481.96</v>
          </cell>
          <cell r="C49">
            <v>0.1681</v>
          </cell>
        </row>
        <row r="50">
          <cell r="A50" t="str">
            <v xml:space="preserve">   AES - CEMENTO PANAMA - Consumidor   (Gran Cliente - CPSA)</v>
          </cell>
          <cell r="B50">
            <v>8.25</v>
          </cell>
          <cell r="C50">
            <v>0.25209999999999999</v>
          </cell>
        </row>
        <row r="51">
          <cell r="A51" t="str">
            <v xml:space="preserve">   AES - BOFCO - Consumidor   (Gran Cliente)</v>
          </cell>
          <cell r="B51">
            <v>13.39</v>
          </cell>
          <cell r="C51">
            <v>0.25209999999999999</v>
          </cell>
        </row>
        <row r="55">
          <cell r="A55" t="str">
            <v xml:space="preserve">CARGO POR  CONEXIÓN </v>
          </cell>
        </row>
        <row r="56">
          <cell r="A56" t="str">
            <v xml:space="preserve">CARGO POR  OPERACIÓN INTEGRADA </v>
          </cell>
        </row>
        <row r="57">
          <cell r="A57" t="str">
            <v>Bahía Las Minas (Generador)</v>
          </cell>
          <cell r="B57">
            <v>280</v>
          </cell>
          <cell r="C57">
            <v>0.1681</v>
          </cell>
          <cell r="D57">
            <v>47068</v>
          </cell>
        </row>
        <row r="61">
          <cell r="A61" t="str">
            <v>CARGO POR  CONEXIÓN</v>
          </cell>
        </row>
        <row r="62">
          <cell r="A62" t="str">
            <v xml:space="preserve">CARGO POR  OPERACIÓN INTEGRADA </v>
          </cell>
        </row>
        <row r="63">
          <cell r="A63" t="str">
            <v>Pan_Am (Generador)</v>
          </cell>
          <cell r="B63">
            <v>96</v>
          </cell>
          <cell r="C63">
            <v>0.1681</v>
          </cell>
          <cell r="D63">
            <v>16137.6</v>
          </cell>
        </row>
        <row r="67">
          <cell r="A67" t="str">
            <v>CARGO POR  CONEXIÓN</v>
          </cell>
        </row>
        <row r="68">
          <cell r="A68" t="str">
            <v xml:space="preserve">CARGO POR  OPERACIÓN INTEGRADA </v>
          </cell>
          <cell r="B68">
            <v>127</v>
          </cell>
          <cell r="C68">
            <v>0.1681</v>
          </cell>
          <cell r="D68">
            <v>21348.7</v>
          </cell>
        </row>
        <row r="71">
          <cell r="A71" t="str">
            <v>PEDREGAL POWER Co. (PEDREGAL)</v>
          </cell>
          <cell r="B71" t="str">
            <v>Cantidad</v>
          </cell>
          <cell r="C71" t="str">
            <v xml:space="preserve">Cargos </v>
          </cell>
        </row>
        <row r="72">
          <cell r="A72" t="str">
            <v>CARGO POR  CONEXIÓN</v>
          </cell>
        </row>
        <row r="73">
          <cell r="A73" t="str">
            <v xml:space="preserve">CARGO POR  OPERACIÓN INTEGRADA </v>
          </cell>
        </row>
        <row r="74">
          <cell r="A74" t="str">
            <v>Pedregal Power Co. (Generador)</v>
          </cell>
          <cell r="B74">
            <v>53.53</v>
          </cell>
          <cell r="C74">
            <v>0.1681</v>
          </cell>
          <cell r="D74">
            <v>8998.39</v>
          </cell>
        </row>
        <row r="77">
          <cell r="A77" t="str">
            <v>EMPRESA DE GENERACIÓN ELÉCTRICA, S.A. (EGESA)</v>
          </cell>
          <cell r="B77" t="str">
            <v>Cantidad</v>
          </cell>
          <cell r="C77" t="str">
            <v xml:space="preserve">Cargos </v>
          </cell>
        </row>
        <row r="78">
          <cell r="A78" t="str">
            <v xml:space="preserve">CARGO POR  CONEXIÓN  </v>
          </cell>
          <cell r="D78">
            <v>0</v>
          </cell>
        </row>
        <row r="79">
          <cell r="A79" t="str">
            <v xml:space="preserve">CARGO POR  OPERACIÓN INTEGRADA </v>
          </cell>
        </row>
        <row r="80">
          <cell r="A80" t="str">
            <v xml:space="preserve">  EGESA (Generador)</v>
          </cell>
          <cell r="B80">
            <v>40</v>
          </cell>
          <cell r="C80">
            <v>0.1681</v>
          </cell>
          <cell r="D80">
            <v>6724</v>
          </cell>
        </row>
        <row r="83">
          <cell r="A83" t="str">
            <v>TERMICA DEL CARIBE, S.A. (TERCARIBE)</v>
          </cell>
          <cell r="B83" t="str">
            <v>Cantidad</v>
          </cell>
          <cell r="C83" t="str">
            <v xml:space="preserve">Cargos </v>
          </cell>
        </row>
        <row r="84">
          <cell r="A84" t="str">
            <v xml:space="preserve">CARGO POR  CONEXIÓN </v>
          </cell>
          <cell r="D84">
            <v>0</v>
          </cell>
        </row>
        <row r="85">
          <cell r="A85" t="str">
            <v xml:space="preserve">CARGO POR  OPERACIÓN INTEGRADA </v>
          </cell>
        </row>
        <row r="86">
          <cell r="A86" t="str">
            <v xml:space="preserve">  TERCARIBE (Generador)</v>
          </cell>
          <cell r="B86">
            <v>50.35</v>
          </cell>
          <cell r="C86">
            <v>0.1681</v>
          </cell>
          <cell r="D86">
            <v>8463.84</v>
          </cell>
        </row>
        <row r="89">
          <cell r="A89" t="str">
            <v>GENERADORA DEL ATLÁNTICO (GENA)</v>
          </cell>
          <cell r="B89" t="str">
            <v>Cantidad</v>
          </cell>
          <cell r="C89" t="str">
            <v xml:space="preserve">Cargos </v>
          </cell>
        </row>
        <row r="90">
          <cell r="A90" t="str">
            <v xml:space="preserve">CARGO POR  CONEXIÓN </v>
          </cell>
          <cell r="D90">
            <v>0</v>
          </cell>
        </row>
        <row r="91">
          <cell r="A91" t="str">
            <v xml:space="preserve">CARGO POR  OPERACIÓN INTEGRADA </v>
          </cell>
        </row>
        <row r="92">
          <cell r="A92" t="str">
            <v xml:space="preserve">  GENA (Generador)</v>
          </cell>
          <cell r="B92">
            <v>150</v>
          </cell>
          <cell r="C92">
            <v>0.1681</v>
          </cell>
          <cell r="D92">
            <v>25215</v>
          </cell>
        </row>
        <row r="95">
          <cell r="A95" t="str">
            <v>CALDERA ENERGY CORP. (MENDRE)</v>
          </cell>
          <cell r="B95" t="str">
            <v>Cantidad</v>
          </cell>
          <cell r="C95" t="str">
            <v xml:space="preserve">Cargos </v>
          </cell>
        </row>
        <row r="96">
          <cell r="A96" t="str">
            <v xml:space="preserve">CARGO POR  CONEXIÓN </v>
          </cell>
          <cell r="D96">
            <v>0</v>
          </cell>
        </row>
        <row r="97">
          <cell r="A97" t="str">
            <v xml:space="preserve">CARGO POR  OPERACIÓN INTEGRADA </v>
          </cell>
        </row>
        <row r="98">
          <cell r="A98" t="str">
            <v xml:space="preserve">  MENDRE (Generador)</v>
          </cell>
          <cell r="B98">
            <v>9.75</v>
          </cell>
          <cell r="C98">
            <v>0.1681</v>
          </cell>
          <cell r="D98">
            <v>1638.98</v>
          </cell>
        </row>
        <row r="101">
          <cell r="A101" t="str">
            <v>AES CHANGUINOLA, S.A. (CHAN I)</v>
          </cell>
          <cell r="B101" t="str">
            <v>Cantidad</v>
          </cell>
          <cell r="C101" t="str">
            <v xml:space="preserve">Cargos </v>
          </cell>
        </row>
        <row r="102">
          <cell r="A102" t="str">
            <v xml:space="preserve">CARGO POR  CONEXIÓN </v>
          </cell>
          <cell r="D102">
            <v>0</v>
          </cell>
        </row>
        <row r="103">
          <cell r="A103" t="str">
            <v xml:space="preserve">CARGO POR  OPERACIÓN INTEGRADA </v>
          </cell>
        </row>
        <row r="104">
          <cell r="A104" t="str">
            <v xml:space="preserve">  CHAN I(Generador)</v>
          </cell>
          <cell r="B104">
            <v>222.58</v>
          </cell>
          <cell r="C104">
            <v>0.1681</v>
          </cell>
          <cell r="D104">
            <v>37415.699999999997</v>
          </cell>
        </row>
        <row r="107">
          <cell r="A107" t="str">
            <v>GENERADORA PEDREGALITO, S.A. (PEDREGALITO I)</v>
          </cell>
          <cell r="B107" t="str">
            <v>Cantidad</v>
          </cell>
          <cell r="C107" t="str">
            <v xml:space="preserve">Cargos </v>
          </cell>
        </row>
        <row r="108">
          <cell r="A108" t="str">
            <v xml:space="preserve">CARGO POR  CONEXIÓN </v>
          </cell>
          <cell r="D108">
            <v>0</v>
          </cell>
        </row>
        <row r="109">
          <cell r="A109" t="str">
            <v xml:space="preserve">CARGO POR  OPERACIÓN INTEGRADA </v>
          </cell>
        </row>
        <row r="110">
          <cell r="A110" t="str">
            <v xml:space="preserve">  PEDREGALITO I (Generador)</v>
          </cell>
          <cell r="B110">
            <v>10</v>
          </cell>
          <cell r="C110">
            <v>0.1681</v>
          </cell>
          <cell r="D110">
            <v>1681</v>
          </cell>
        </row>
        <row r="113">
          <cell r="A113" t="str">
            <v>GENERADORA RIO CHICO, S.A. (PEDREGALITO II)</v>
          </cell>
          <cell r="B113" t="str">
            <v>Cantidad</v>
          </cell>
          <cell r="C113" t="str">
            <v xml:space="preserve">Cargos </v>
          </cell>
        </row>
        <row r="114">
          <cell r="A114" t="str">
            <v xml:space="preserve">CARGO POR  CONEXIÓN </v>
          </cell>
          <cell r="D114">
            <v>0</v>
          </cell>
        </row>
        <row r="115">
          <cell r="A115" t="str">
            <v xml:space="preserve">CARGO POR  OPERACIÓN INTEGRADA </v>
          </cell>
        </row>
        <row r="116">
          <cell r="A116" t="str">
            <v xml:space="preserve">  PEDREGALITO II (Generador)</v>
          </cell>
          <cell r="B116">
            <v>4</v>
          </cell>
          <cell r="C116">
            <v>0.1681</v>
          </cell>
          <cell r="D116">
            <v>672.4</v>
          </cell>
        </row>
        <row r="119">
          <cell r="A119" t="str">
            <v xml:space="preserve">ALTERNEGY, S.A. </v>
          </cell>
          <cell r="B119" t="str">
            <v>Cantidad</v>
          </cell>
          <cell r="C119" t="str">
            <v xml:space="preserve">Cargos </v>
          </cell>
        </row>
        <row r="120">
          <cell r="A120" t="str">
            <v xml:space="preserve">CARGO POR  CONEXIÓN </v>
          </cell>
          <cell r="D120">
            <v>0</v>
          </cell>
        </row>
        <row r="121">
          <cell r="A121" t="str">
            <v xml:space="preserve">CARGO POR  OPERACIÓN INTEGRADA </v>
          </cell>
        </row>
        <row r="122">
          <cell r="A122" t="str">
            <v xml:space="preserve">   -  Zona 9 (S/E Bahía las Minas) Cativá</v>
          </cell>
          <cell r="B122">
            <v>87.2</v>
          </cell>
          <cell r="C122">
            <v>0.1681</v>
          </cell>
          <cell r="D122">
            <v>14658.32</v>
          </cell>
        </row>
        <row r="123">
          <cell r="A123" t="str">
            <v xml:space="preserve">  Lorena (Generador)</v>
          </cell>
          <cell r="B123">
            <v>33.799999999999997</v>
          </cell>
          <cell r="C123">
            <v>0.1681</v>
          </cell>
          <cell r="D123">
            <v>5681.78</v>
          </cell>
        </row>
        <row r="124">
          <cell r="A124" t="str">
            <v xml:space="preserve">  Prudencia (Generador)</v>
          </cell>
          <cell r="B124">
            <v>58.66</v>
          </cell>
          <cell r="C124">
            <v>0.1681</v>
          </cell>
          <cell r="D124">
            <v>9860.75</v>
          </cell>
        </row>
        <row r="127">
          <cell r="A127" t="str">
            <v>BONTEX, S.A. (GUALACA)</v>
          </cell>
          <cell r="B127" t="str">
            <v>Cantidad</v>
          </cell>
          <cell r="C127" t="str">
            <v xml:space="preserve">Cargos </v>
          </cell>
        </row>
        <row r="128">
          <cell r="A128" t="str">
            <v xml:space="preserve">CARGO POR  CONEXIÓN </v>
          </cell>
          <cell r="D128">
            <v>0</v>
          </cell>
        </row>
        <row r="129">
          <cell r="A129" t="str">
            <v xml:space="preserve">CARGO POR  OPERACIÓN INTEGRADA </v>
          </cell>
        </row>
        <row r="130">
          <cell r="A130" t="str">
            <v>BONTEX (Generador)</v>
          </cell>
          <cell r="B130">
            <v>25.34</v>
          </cell>
          <cell r="C130">
            <v>0.1681</v>
          </cell>
          <cell r="D130">
            <v>4259.6499999999996</v>
          </cell>
        </row>
        <row r="133">
          <cell r="A133" t="str">
            <v>IDEAL PANAMA, S.A.</v>
          </cell>
          <cell r="B133" t="str">
            <v>Cantidad</v>
          </cell>
          <cell r="C133" t="str">
            <v xml:space="preserve">Cargos </v>
          </cell>
        </row>
        <row r="134">
          <cell r="A134" t="str">
            <v xml:space="preserve">CARGO POR  CONEXIÓN </v>
          </cell>
          <cell r="D134">
            <v>0</v>
          </cell>
        </row>
        <row r="135">
          <cell r="A135" t="str">
            <v xml:space="preserve">CARGO POR  OPERACIÓN INTEGRADA </v>
          </cell>
        </row>
        <row r="136">
          <cell r="A136" t="str">
            <v xml:space="preserve">  Bajo de Mina (Generador)</v>
          </cell>
          <cell r="B136">
            <v>56.8</v>
          </cell>
          <cell r="C136">
            <v>0.1681</v>
          </cell>
          <cell r="D136">
            <v>9548.08</v>
          </cell>
        </row>
        <row r="137">
          <cell r="A137" t="str">
            <v xml:space="preserve">  Baitún (Generador)</v>
          </cell>
          <cell r="B137">
            <v>85.9</v>
          </cell>
          <cell r="C137">
            <v>0.1681</v>
          </cell>
          <cell r="D137">
            <v>14439.79</v>
          </cell>
        </row>
        <row r="140">
          <cell r="A140" t="str">
            <v>HIDRO PIEDRA, S.A. (RP-490)</v>
          </cell>
          <cell r="B140" t="str">
            <v>Cantidad</v>
          </cell>
          <cell r="C140" t="str">
            <v xml:space="preserve">Cargos </v>
          </cell>
        </row>
        <row r="141">
          <cell r="A141" t="str">
            <v xml:space="preserve">CARGO POR  CONEXIÓN </v>
          </cell>
          <cell r="D141">
            <v>0</v>
          </cell>
        </row>
        <row r="142">
          <cell r="A142" t="str">
            <v xml:space="preserve">CARGO POR  OPERACIÓN INTEGRADA </v>
          </cell>
        </row>
        <row r="143">
          <cell r="A143" t="str">
            <v xml:space="preserve"> RP-490 (Generador)</v>
          </cell>
          <cell r="B143">
            <v>4</v>
          </cell>
          <cell r="C143">
            <v>0.1681</v>
          </cell>
          <cell r="D143">
            <v>672.4</v>
          </cell>
        </row>
        <row r="146">
          <cell r="A146" t="str">
            <v>GENERADORA ALTO VALLE, S.A. (COCHEA)</v>
          </cell>
          <cell r="B146" t="str">
            <v>Cantidad</v>
          </cell>
          <cell r="C146" t="str">
            <v xml:space="preserve">Cargos </v>
          </cell>
        </row>
        <row r="147">
          <cell r="A147" t="str">
            <v xml:space="preserve">CARGO POR  CONEXIÓN </v>
          </cell>
          <cell r="D147">
            <v>0</v>
          </cell>
        </row>
        <row r="148">
          <cell r="A148" t="str">
            <v xml:space="preserve">CARGO POR  OPERACIÓN INTEGRADA </v>
          </cell>
        </row>
        <row r="149">
          <cell r="A149" t="str">
            <v>Cochea (Generador)</v>
          </cell>
          <cell r="B149">
            <v>5.7</v>
          </cell>
          <cell r="C149">
            <v>0.1681</v>
          </cell>
          <cell r="D149">
            <v>958.17</v>
          </cell>
        </row>
        <row r="152">
          <cell r="A152" t="str">
            <v>ENERGÍA Y SERVICIOS DE PANAMÁ, S.A. (ESEPSA)</v>
          </cell>
          <cell r="B152" t="str">
            <v>Cantidad</v>
          </cell>
          <cell r="C152" t="str">
            <v xml:space="preserve">Cargos </v>
          </cell>
        </row>
        <row r="153">
          <cell r="A153" t="str">
            <v xml:space="preserve">CARGO POR  CONEXIÓN </v>
          </cell>
          <cell r="D153">
            <v>0</v>
          </cell>
        </row>
        <row r="154">
          <cell r="A154" t="str">
            <v xml:space="preserve">CARGO POR  OPERACIÓN INTEGRADA </v>
          </cell>
        </row>
        <row r="155">
          <cell r="A155" t="str">
            <v>ESEPSA (Generador)</v>
          </cell>
          <cell r="B155">
            <v>12.5</v>
          </cell>
          <cell r="C155">
            <v>0.1681</v>
          </cell>
          <cell r="D155">
            <v>2101.25</v>
          </cell>
        </row>
        <row r="158">
          <cell r="A158" t="str">
            <v>INGRESO TOTAL CONEXIÓN</v>
          </cell>
        </row>
        <row r="159">
          <cell r="A159" t="str">
            <v>INGRESO TOTAL POR OPERACIÓN INTEGRADA</v>
          </cell>
        </row>
        <row r="160">
          <cell r="A160" t="str">
            <v>INGRESO TOTAL ETESA</v>
          </cell>
        </row>
      </sheetData>
      <sheetData sheetId="1" refreshError="1">
        <row r="8">
          <cell r="D8">
            <v>4736.67</v>
          </cell>
        </row>
        <row r="9">
          <cell r="D9">
            <v>23230</v>
          </cell>
        </row>
        <row r="10">
          <cell r="D10">
            <v>35593.33</v>
          </cell>
        </row>
        <row r="11">
          <cell r="D11">
            <v>26011.67</v>
          </cell>
        </row>
        <row r="12">
          <cell r="D12">
            <v>50866.67</v>
          </cell>
        </row>
        <row r="13">
          <cell r="D13">
            <v>36250</v>
          </cell>
        </row>
        <row r="14">
          <cell r="D14">
            <v>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57">
          <cell r="D57">
            <v>47068</v>
          </cell>
        </row>
        <row r="63">
          <cell r="D63">
            <v>16137.6</v>
          </cell>
        </row>
        <row r="68">
          <cell r="D68">
            <v>21348.7</v>
          </cell>
        </row>
        <row r="74">
          <cell r="D74">
            <v>8998.39</v>
          </cell>
        </row>
        <row r="78">
          <cell r="D78">
            <v>0</v>
          </cell>
        </row>
        <row r="80">
          <cell r="D80">
            <v>6724</v>
          </cell>
        </row>
        <row r="84">
          <cell r="D84">
            <v>0</v>
          </cell>
        </row>
        <row r="86">
          <cell r="D86">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sheetData>
      <sheetData sheetId="2" refreshError="1">
        <row r="8">
          <cell r="D8">
            <v>4736.67</v>
          </cell>
        </row>
        <row r="9">
          <cell r="D9">
            <v>23230</v>
          </cell>
        </row>
        <row r="10">
          <cell r="D10">
            <v>35593.33</v>
          </cell>
        </row>
        <row r="11">
          <cell r="D11">
            <v>26011.67</v>
          </cell>
        </row>
        <row r="12">
          <cell r="D12">
            <v>50866.67</v>
          </cell>
        </row>
        <row r="13">
          <cell r="D13">
            <v>18125</v>
          </cell>
        </row>
        <row r="14">
          <cell r="D14">
            <v>177500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57">
          <cell r="D57">
            <v>47068</v>
          </cell>
        </row>
        <row r="63">
          <cell r="D63">
            <v>16137.6</v>
          </cell>
        </row>
        <row r="68">
          <cell r="D68">
            <v>21348.7</v>
          </cell>
        </row>
        <row r="74">
          <cell r="D74">
            <v>8998.39</v>
          </cell>
        </row>
        <row r="78">
          <cell r="D78">
            <v>0</v>
          </cell>
        </row>
        <row r="80">
          <cell r="D80">
            <v>6724</v>
          </cell>
        </row>
        <row r="84">
          <cell r="D84">
            <v>0</v>
          </cell>
        </row>
        <row r="86">
          <cell r="D86">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sheetData>
      <sheetData sheetId="3" refreshError="1">
        <row r="8">
          <cell r="D8">
            <v>4736.67</v>
          </cell>
        </row>
        <row r="9">
          <cell r="D9">
            <v>23230</v>
          </cell>
        </row>
        <row r="10">
          <cell r="D10">
            <v>35593.33</v>
          </cell>
        </row>
        <row r="11">
          <cell r="D11">
            <v>26011.67</v>
          </cell>
        </row>
        <row r="12">
          <cell r="D12">
            <v>50866.67</v>
          </cell>
        </row>
        <row r="13">
          <cell r="D13">
            <v>18125</v>
          </cell>
        </row>
        <row r="14">
          <cell r="D14">
            <v>177500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57">
          <cell r="D57">
            <v>47068</v>
          </cell>
        </row>
        <row r="63">
          <cell r="D63">
            <v>16137.6</v>
          </cell>
        </row>
        <row r="68">
          <cell r="D68">
            <v>21348.7</v>
          </cell>
        </row>
        <row r="74">
          <cell r="D74">
            <v>8998.39</v>
          </cell>
        </row>
        <row r="78">
          <cell r="D78">
            <v>0</v>
          </cell>
        </row>
        <row r="80">
          <cell r="D80">
            <v>6724</v>
          </cell>
        </row>
        <row r="84">
          <cell r="D84">
            <v>0</v>
          </cell>
        </row>
        <row r="85">
          <cell r="D85">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sheetData>
      <sheetData sheetId="4" refreshError="1">
        <row r="8">
          <cell r="D8">
            <v>4736.67</v>
          </cell>
        </row>
        <row r="9">
          <cell r="D9">
            <v>23230</v>
          </cell>
        </row>
        <row r="10">
          <cell r="D10">
            <v>35593.33</v>
          </cell>
        </row>
        <row r="11">
          <cell r="D11">
            <v>26011.67</v>
          </cell>
        </row>
        <row r="12">
          <cell r="D12">
            <v>50866.67</v>
          </cell>
        </row>
        <row r="13">
          <cell r="D13">
            <v>0</v>
          </cell>
        </row>
        <row r="14">
          <cell r="D14">
            <v>177500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57">
          <cell r="D57">
            <v>47068</v>
          </cell>
        </row>
        <row r="63">
          <cell r="D63">
            <v>16137.6</v>
          </cell>
        </row>
        <row r="68">
          <cell r="D68">
            <v>21348.7</v>
          </cell>
        </row>
        <row r="74">
          <cell r="D74">
            <v>8998.39</v>
          </cell>
        </row>
        <row r="78">
          <cell r="D78">
            <v>0</v>
          </cell>
        </row>
        <row r="80">
          <cell r="D80">
            <v>6724</v>
          </cell>
        </row>
        <row r="84">
          <cell r="D84">
            <v>0</v>
          </cell>
        </row>
        <row r="86">
          <cell r="D86">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sheetData>
      <sheetData sheetId="5" refreshError="1">
        <row r="8">
          <cell r="D8">
            <v>4736.67</v>
          </cell>
        </row>
        <row r="9">
          <cell r="D9">
            <v>23230</v>
          </cell>
        </row>
        <row r="10">
          <cell r="D10">
            <v>35593.33</v>
          </cell>
        </row>
        <row r="11">
          <cell r="D11">
            <v>26011.67</v>
          </cell>
        </row>
        <row r="12">
          <cell r="D12">
            <v>50866.67</v>
          </cell>
        </row>
        <row r="13">
          <cell r="D13">
            <v>0</v>
          </cell>
        </row>
        <row r="14">
          <cell r="D14">
            <v>177500</v>
          </cell>
        </row>
        <row r="15">
          <cell r="D15">
            <v>16969.169999999998</v>
          </cell>
        </row>
        <row r="17">
          <cell r="D17">
            <v>170901.11</v>
          </cell>
        </row>
        <row r="23">
          <cell r="D23">
            <v>129070.16</v>
          </cell>
        </row>
        <row r="28">
          <cell r="D28">
            <v>30973.33</v>
          </cell>
        </row>
        <row r="29">
          <cell r="D29">
            <v>444.58</v>
          </cell>
        </row>
        <row r="30">
          <cell r="D30">
            <v>12293.33</v>
          </cell>
        </row>
        <row r="31">
          <cell r="D31">
            <v>3237.57</v>
          </cell>
        </row>
        <row r="32">
          <cell r="D32">
            <v>2752.86</v>
          </cell>
        </row>
        <row r="34">
          <cell r="D34">
            <v>27942.76</v>
          </cell>
        </row>
        <row r="35">
          <cell r="D35">
            <v>5420.15</v>
          </cell>
        </row>
        <row r="41">
          <cell r="D41">
            <v>50430</v>
          </cell>
        </row>
        <row r="46">
          <cell r="D46">
            <v>5157.17</v>
          </cell>
        </row>
        <row r="47">
          <cell r="D47">
            <v>1778.33</v>
          </cell>
        </row>
        <row r="57">
          <cell r="D57">
            <v>47068</v>
          </cell>
        </row>
        <row r="63">
          <cell r="D63">
            <v>16137.6</v>
          </cell>
        </row>
        <row r="68">
          <cell r="D68">
            <v>21348.7</v>
          </cell>
        </row>
        <row r="74">
          <cell r="D74">
            <v>8998.39</v>
          </cell>
        </row>
        <row r="78">
          <cell r="D78">
            <v>0</v>
          </cell>
        </row>
        <row r="80">
          <cell r="D80">
            <v>6724</v>
          </cell>
        </row>
        <row r="84">
          <cell r="D84">
            <v>0</v>
          </cell>
        </row>
        <row r="86">
          <cell r="D86">
            <v>8463.84</v>
          </cell>
        </row>
        <row r="90">
          <cell r="D90">
            <v>0</v>
          </cell>
        </row>
        <row r="92">
          <cell r="D92">
            <v>25215</v>
          </cell>
        </row>
        <row r="96">
          <cell r="D96">
            <v>0</v>
          </cell>
        </row>
        <row r="98">
          <cell r="D98">
            <v>1638.98</v>
          </cell>
        </row>
        <row r="102">
          <cell r="D102">
            <v>0</v>
          </cell>
        </row>
        <row r="104">
          <cell r="D104">
            <v>37415.699999999997</v>
          </cell>
        </row>
        <row r="108">
          <cell r="D108">
            <v>0</v>
          </cell>
        </row>
        <row r="110">
          <cell r="D110">
            <v>1681</v>
          </cell>
        </row>
        <row r="114">
          <cell r="D114">
            <v>0</v>
          </cell>
        </row>
        <row r="116">
          <cell r="D116">
            <v>672.4</v>
          </cell>
        </row>
        <row r="120">
          <cell r="D120">
            <v>0</v>
          </cell>
        </row>
        <row r="122">
          <cell r="D122">
            <v>14658.32</v>
          </cell>
        </row>
        <row r="123">
          <cell r="D123">
            <v>5681.78</v>
          </cell>
        </row>
        <row r="124">
          <cell r="D124">
            <v>9860.75</v>
          </cell>
        </row>
        <row r="128">
          <cell r="D128">
            <v>0</v>
          </cell>
        </row>
        <row r="130">
          <cell r="D130">
            <v>4259.6499999999996</v>
          </cell>
        </row>
        <row r="134">
          <cell r="D134">
            <v>0</v>
          </cell>
        </row>
        <row r="136">
          <cell r="D136">
            <v>9548.08</v>
          </cell>
        </row>
        <row r="137">
          <cell r="D137">
            <v>14439.79</v>
          </cell>
        </row>
        <row r="141">
          <cell r="D141">
            <v>0</v>
          </cell>
        </row>
        <row r="143">
          <cell r="D143">
            <v>672.4</v>
          </cell>
        </row>
        <row r="147">
          <cell r="D147">
            <v>0</v>
          </cell>
        </row>
        <row r="149">
          <cell r="D149">
            <v>958.17</v>
          </cell>
        </row>
        <row r="153">
          <cell r="D153">
            <v>0</v>
          </cell>
        </row>
        <row r="155">
          <cell r="D155">
            <v>2101.25</v>
          </cell>
        </row>
      </sheetData>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sheetName val="ACTIVOS"/>
      <sheetName val="Evo"/>
      <sheetName val="Bienes 2012"/>
      <sheetName val="Tasa depreciacion"/>
      <sheetName val="VNR Lineas"/>
      <sheetName val="VNR Sub Conex"/>
      <sheetName val="VNR Sub SPT"/>
      <sheetName val="VNR 2012"/>
      <sheetName val="Plan exp"/>
      <sheetName val="CND"/>
      <sheetName val="CND SOLICITADO"/>
      <sheetName val="CND AJUSTADO"/>
      <sheetName val="CND AJUSTADO -RES"/>
      <sheetName val="HID"/>
      <sheetName val="HID2"/>
    </sheetNames>
    <sheetDataSet>
      <sheetData sheetId="0"/>
      <sheetData sheetId="1">
        <row r="31">
          <cell r="C31">
            <v>328214.90700403386</v>
          </cell>
        </row>
        <row r="32">
          <cell r="C32">
            <v>199740.3098379263</v>
          </cell>
          <cell r="D32">
            <v>192966.4124455378</v>
          </cell>
          <cell r="E32">
            <v>236796.41846024472</v>
          </cell>
          <cell r="F32">
            <v>284043.72011476068</v>
          </cell>
          <cell r="G32">
            <v>311780.65539075877</v>
          </cell>
          <cell r="H32">
            <v>428063.79489368392</v>
          </cell>
        </row>
        <row r="33">
          <cell r="D33">
            <v>-10117.845662388465</v>
          </cell>
          <cell r="E33">
            <v>-10218.164110488466</v>
          </cell>
          <cell r="F33">
            <v>-11839.609214244327</v>
          </cell>
          <cell r="G33">
            <v>-13612.216540307134</v>
          </cell>
          <cell r="H33">
            <v>-14852.69109479629</v>
          </cell>
        </row>
        <row r="59">
          <cell r="C59">
            <v>0</v>
          </cell>
          <cell r="D59">
            <v>0</v>
          </cell>
          <cell r="E59">
            <v>0</v>
          </cell>
          <cell r="F59">
            <v>0</v>
          </cell>
          <cell r="G59">
            <v>0</v>
          </cell>
          <cell r="H59">
            <v>285457.82998149999</v>
          </cell>
        </row>
        <row r="60">
          <cell r="H60">
            <v>0</v>
          </cell>
        </row>
        <row r="88">
          <cell r="D88">
            <v>-1133.7359452590517</v>
          </cell>
          <cell r="E88">
            <v>-1241.0459452590517</v>
          </cell>
          <cell r="F88">
            <v>-1295.3459452590516</v>
          </cell>
          <cell r="G88">
            <v>-1677.8759452590516</v>
          </cell>
          <cell r="H88">
            <v>-1710.9059452590518</v>
          </cell>
        </row>
        <row r="115">
          <cell r="C115">
            <v>8607.5463466670826</v>
          </cell>
          <cell r="D115">
            <v>16294.476097688785</v>
          </cell>
          <cell r="E115">
            <v>23073.875848710486</v>
          </cell>
          <cell r="F115">
            <v>21822.365599732191</v>
          </cell>
          <cell r="G115">
            <v>20570.855350753889</v>
          </cell>
          <cell r="H115">
            <v>19319.345101775594</v>
          </cell>
        </row>
        <row r="116">
          <cell r="D116">
            <v>-764.07024897829797</v>
          </cell>
          <cell r="E116">
            <v>-1017.6002489782979</v>
          </cell>
          <cell r="F116">
            <v>-1251.510248978298</v>
          </cell>
          <cell r="G116">
            <v>-1251.510248978298</v>
          </cell>
          <cell r="H116">
            <v>-1251.510248978298</v>
          </cell>
        </row>
        <row r="143">
          <cell r="C143">
            <v>2000.9</v>
          </cell>
          <cell r="D143">
            <v>2000.9</v>
          </cell>
          <cell r="E143">
            <v>2000.9</v>
          </cell>
          <cell r="F143">
            <v>2000.9</v>
          </cell>
          <cell r="G143">
            <v>0</v>
          </cell>
          <cell r="H143">
            <v>0</v>
          </cell>
        </row>
        <row r="144">
          <cell r="C144">
            <v>269.1894999999995</v>
          </cell>
          <cell r="D144">
            <v>199.15799999999945</v>
          </cell>
          <cell r="E144">
            <v>129.1264999999994</v>
          </cell>
          <cell r="F144">
            <v>59.094999999999345</v>
          </cell>
          <cell r="G144">
            <v>0</v>
          </cell>
          <cell r="H144">
            <v>0</v>
          </cell>
        </row>
        <row r="145">
          <cell r="D145">
            <v>-70.031500000000008</v>
          </cell>
          <cell r="E145">
            <v>-70.031500000000008</v>
          </cell>
          <cell r="F145">
            <v>-70.031500000000008</v>
          </cell>
          <cell r="G145">
            <v>-59</v>
          </cell>
          <cell r="H145">
            <v>0</v>
          </cell>
        </row>
        <row r="152">
          <cell r="C152">
            <v>672845.40272774338</v>
          </cell>
          <cell r="D152">
            <v>679766.35099774343</v>
          </cell>
          <cell r="E152">
            <v>735624.52112293872</v>
          </cell>
          <cell r="F152">
            <v>834392.43199169892</v>
          </cell>
          <cell r="G152">
            <v>876842.58380800416</v>
          </cell>
          <cell r="H152">
            <v>1012021.4144057257</v>
          </cell>
        </row>
        <row r="153">
          <cell r="G153">
            <v>0</v>
          </cell>
          <cell r="H153">
            <v>285457.82998149999</v>
          </cell>
        </row>
        <row r="154">
          <cell r="C154">
            <v>55584.10027607534</v>
          </cell>
          <cell r="D154">
            <v>64035.10027607534</v>
          </cell>
          <cell r="E154">
            <v>71832.100276075333</v>
          </cell>
          <cell r="F154">
            <v>71832.100276075333</v>
          </cell>
          <cell r="G154">
            <v>71832.100276075333</v>
          </cell>
          <cell r="H154">
            <v>71832.100276075333</v>
          </cell>
        </row>
        <row r="160">
          <cell r="D160">
            <v>552.98275666666655</v>
          </cell>
          <cell r="E160">
            <v>6580.4562743352672</v>
          </cell>
          <cell r="F160">
            <v>12132.045890916219</v>
          </cell>
          <cell r="G160">
            <v>52.364652898412075</v>
          </cell>
          <cell r="H160">
            <v>47677.735883143461</v>
          </cell>
        </row>
        <row r="161">
          <cell r="D161">
            <v>0</v>
          </cell>
          <cell r="E161">
            <v>0</v>
          </cell>
          <cell r="F161">
            <v>0</v>
          </cell>
          <cell r="G161">
            <v>0</v>
          </cell>
          <cell r="H161">
            <v>142728.91499075</v>
          </cell>
        </row>
        <row r="162">
          <cell r="D162">
            <v>0</v>
          </cell>
          <cell r="E162">
            <v>0</v>
          </cell>
          <cell r="F162">
            <v>0</v>
          </cell>
          <cell r="G162">
            <v>0</v>
          </cell>
          <cell r="H162">
            <v>0</v>
          </cell>
        </row>
        <row r="165">
          <cell r="D165">
            <v>1267.9741350000002</v>
          </cell>
          <cell r="E165">
            <v>23805.79554877595</v>
          </cell>
          <cell r="F165">
            <v>25026.555360311118</v>
          </cell>
          <cell r="G165">
            <v>17387.492574819265</v>
          </cell>
          <cell r="H165">
            <v>63438.998632194074</v>
          </cell>
        </row>
        <row r="166">
          <cell r="D166">
            <v>0</v>
          </cell>
          <cell r="E166">
            <v>0</v>
          </cell>
          <cell r="F166">
            <v>0</v>
          </cell>
          <cell r="G166">
            <v>0</v>
          </cell>
          <cell r="H166">
            <v>142728.91499075</v>
          </cell>
        </row>
        <row r="167">
          <cell r="D167">
            <v>1401.75</v>
          </cell>
          <cell r="E167">
            <v>3898.5</v>
          </cell>
          <cell r="F167">
            <v>0</v>
          </cell>
          <cell r="G167">
            <v>0</v>
          </cell>
          <cell r="H167">
            <v>0</v>
          </cell>
        </row>
        <row r="172">
          <cell r="G172">
            <v>575451.02642300935</v>
          </cell>
        </row>
        <row r="173">
          <cell r="G173">
            <v>97394.37630473396</v>
          </cell>
        </row>
        <row r="174">
          <cell r="G174">
            <v>672845.40272774326</v>
          </cell>
        </row>
        <row r="215">
          <cell r="C215">
            <v>8409.7691952999921</v>
          </cell>
          <cell r="D215">
            <v>10853.033250040942</v>
          </cell>
          <cell r="E215">
            <v>11421.987304781887</v>
          </cell>
          <cell r="F215">
            <v>22877.641359522837</v>
          </cell>
          <cell r="G215">
            <v>22300.76541426378</v>
          </cell>
          <cell r="H215">
            <v>24632.859469004728</v>
          </cell>
        </row>
      </sheetData>
      <sheetData sheetId="2"/>
      <sheetData sheetId="3"/>
      <sheetData sheetId="4"/>
      <sheetData sheetId="5"/>
      <sheetData sheetId="6"/>
      <sheetData sheetId="7"/>
      <sheetData sheetId="8"/>
      <sheetData sheetId="9"/>
      <sheetData sheetId="10">
        <row r="9">
          <cell r="B9">
            <v>2367.7561405299994</v>
          </cell>
          <cell r="C9">
            <v>3763.125250529999</v>
          </cell>
          <cell r="D9">
            <v>3086.7081513399999</v>
          </cell>
          <cell r="E9">
            <v>3453.5681513399995</v>
          </cell>
          <cell r="F9">
            <v>3516.1801621499999</v>
          </cell>
          <cell r="G9">
            <v>3066.7801621499998</v>
          </cell>
          <cell r="H9">
            <v>3001.8921729599997</v>
          </cell>
          <cell r="I9">
            <v>3687.4921729599996</v>
          </cell>
          <cell r="J9">
            <v>3206.7041837699994</v>
          </cell>
          <cell r="K9">
            <v>3057.6041837699995</v>
          </cell>
        </row>
      </sheetData>
      <sheetData sheetId="11"/>
      <sheetData sheetId="12"/>
      <sheetData sheetId="13"/>
      <sheetData sheetId="14">
        <row r="8">
          <cell r="B8">
            <v>1606411.32</v>
          </cell>
          <cell r="C8">
            <v>1638911.32</v>
          </cell>
          <cell r="D8">
            <v>1746392.4519999998</v>
          </cell>
          <cell r="E8">
            <v>1671892.4519999998</v>
          </cell>
          <cell r="F8">
            <v>4560369.8103999998</v>
          </cell>
          <cell r="G8">
            <v>2015329.8103999998</v>
          </cell>
          <cell r="H8">
            <v>2353347.1688000001</v>
          </cell>
          <cell r="I8">
            <v>2051147.1687999999</v>
          </cell>
          <cell r="J8">
            <v>2668320.7535999995</v>
          </cell>
          <cell r="K8">
            <v>2075620.7535999997</v>
          </cell>
        </row>
      </sheetData>
      <sheetData sheetId="1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d"/>
      <sheetName val="%USO"/>
      <sheetName val="Ram"/>
      <sheetName val="Dias"/>
      <sheetName val="ENERGIA"/>
      <sheetName val="ENERGIA (Cargos)"/>
      <sheetName val="2"/>
    </sheetNames>
    <sheetDataSet>
      <sheetData sheetId="0"/>
      <sheetData sheetId="1" refreshError="1">
        <row r="3">
          <cell r="A3">
            <v>6002</v>
          </cell>
          <cell r="B3">
            <v>115</v>
          </cell>
          <cell r="C3" t="str">
            <v>Panamá 115</v>
          </cell>
          <cell r="D3" t="str">
            <v>PAN115</v>
          </cell>
          <cell r="E3">
            <v>7</v>
          </cell>
        </row>
        <row r="4">
          <cell r="A4">
            <v>6003</v>
          </cell>
          <cell r="B4">
            <v>230</v>
          </cell>
          <cell r="C4" t="str">
            <v>Panamá II 230</v>
          </cell>
          <cell r="D4" t="str">
            <v>PANII230</v>
          </cell>
          <cell r="E4">
            <v>7</v>
          </cell>
        </row>
        <row r="5">
          <cell r="A5">
            <v>6004</v>
          </cell>
          <cell r="B5">
            <v>115</v>
          </cell>
          <cell r="C5" t="str">
            <v>Panamá II 115</v>
          </cell>
          <cell r="D5" t="str">
            <v>PANII115</v>
          </cell>
          <cell r="E5">
            <v>7</v>
          </cell>
        </row>
        <row r="6">
          <cell r="A6">
            <v>6005</v>
          </cell>
          <cell r="B6">
            <v>230</v>
          </cell>
          <cell r="C6" t="str">
            <v>Chorrera 230</v>
          </cell>
          <cell r="D6" t="str">
            <v>CHO230</v>
          </cell>
          <cell r="E6">
            <v>6</v>
          </cell>
        </row>
        <row r="7">
          <cell r="A7">
            <v>6008</v>
          </cell>
          <cell r="B7">
            <v>230</v>
          </cell>
          <cell r="C7" t="str">
            <v>Llano Sánchez 230</v>
          </cell>
          <cell r="D7" t="str">
            <v>LSA230</v>
          </cell>
          <cell r="E7">
            <v>5</v>
          </cell>
        </row>
        <row r="8">
          <cell r="A8">
            <v>6009</v>
          </cell>
          <cell r="B8">
            <v>115</v>
          </cell>
          <cell r="C8" t="str">
            <v>Llano Sánchez 115</v>
          </cell>
          <cell r="D8" t="str">
            <v>LSA115</v>
          </cell>
          <cell r="E8">
            <v>5</v>
          </cell>
        </row>
        <row r="9">
          <cell r="A9">
            <v>6010</v>
          </cell>
          <cell r="B9">
            <v>34.5</v>
          </cell>
          <cell r="C9" t="str">
            <v>Llano Sánchez 34.5</v>
          </cell>
          <cell r="D9" t="str">
            <v>LSA34</v>
          </cell>
          <cell r="E9">
            <v>5</v>
          </cell>
        </row>
        <row r="10">
          <cell r="A10">
            <v>6011</v>
          </cell>
          <cell r="B10">
            <v>230</v>
          </cell>
          <cell r="C10" t="str">
            <v>Mata de Nance 230</v>
          </cell>
          <cell r="D10" t="str">
            <v>MDN230</v>
          </cell>
          <cell r="E10">
            <v>4</v>
          </cell>
        </row>
        <row r="11">
          <cell r="A11">
            <v>6012</v>
          </cell>
          <cell r="B11">
            <v>115</v>
          </cell>
          <cell r="C11" t="str">
            <v>Mata de Nance 115</v>
          </cell>
          <cell r="D11" t="str">
            <v>MDN115</v>
          </cell>
          <cell r="E11">
            <v>4</v>
          </cell>
        </row>
        <row r="12">
          <cell r="A12">
            <v>6013</v>
          </cell>
          <cell r="B12">
            <v>34.5</v>
          </cell>
          <cell r="C12" t="str">
            <v>Mata de Nance 34.5</v>
          </cell>
          <cell r="D12" t="str">
            <v>MDN34</v>
          </cell>
          <cell r="E12">
            <v>4</v>
          </cell>
        </row>
        <row r="13">
          <cell r="A13">
            <v>6014</v>
          </cell>
          <cell r="B13">
            <v>230</v>
          </cell>
          <cell r="C13" t="str">
            <v>Progreso 230</v>
          </cell>
          <cell r="D13" t="str">
            <v>PRO230</v>
          </cell>
          <cell r="E13">
            <v>1</v>
          </cell>
        </row>
        <row r="14">
          <cell r="A14">
            <v>6018</v>
          </cell>
          <cell r="B14">
            <v>115</v>
          </cell>
          <cell r="C14" t="str">
            <v>Cáceres</v>
          </cell>
          <cell r="D14" t="str">
            <v>CAC115</v>
          </cell>
          <cell r="E14">
            <v>7</v>
          </cell>
        </row>
        <row r="15">
          <cell r="A15">
            <v>6024</v>
          </cell>
          <cell r="B15">
            <v>115</v>
          </cell>
          <cell r="C15" t="str">
            <v>Chilibre</v>
          </cell>
          <cell r="D15" t="str">
            <v>CHI115</v>
          </cell>
          <cell r="E15">
            <v>7</v>
          </cell>
        </row>
        <row r="16">
          <cell r="A16">
            <v>6059</v>
          </cell>
          <cell r="B16">
            <v>115</v>
          </cell>
          <cell r="C16" t="str">
            <v>Las Minas 1</v>
          </cell>
          <cell r="D16" t="str">
            <v>LM1115</v>
          </cell>
          <cell r="E16">
            <v>9</v>
          </cell>
        </row>
        <row r="17">
          <cell r="A17">
            <v>6060</v>
          </cell>
          <cell r="B17">
            <v>115</v>
          </cell>
          <cell r="C17" t="str">
            <v>Las Minas 2</v>
          </cell>
          <cell r="D17" t="str">
            <v>LM2115</v>
          </cell>
          <cell r="E17">
            <v>9</v>
          </cell>
        </row>
        <row r="18">
          <cell r="A18">
            <v>6087</v>
          </cell>
          <cell r="B18">
            <v>115</v>
          </cell>
          <cell r="C18" t="str">
            <v>Caldera</v>
          </cell>
          <cell r="D18" t="str">
            <v>CAL115</v>
          </cell>
          <cell r="E18">
            <v>3</v>
          </cell>
        </row>
        <row r="19">
          <cell r="A19">
            <v>6096</v>
          </cell>
          <cell r="B19">
            <v>230</v>
          </cell>
          <cell r="C19" t="str">
            <v>Fortuna</v>
          </cell>
          <cell r="D19" t="str">
            <v>FOR230</v>
          </cell>
          <cell r="E19">
            <v>2</v>
          </cell>
        </row>
        <row r="20">
          <cell r="A20">
            <v>6100</v>
          </cell>
          <cell r="B20">
            <v>230</v>
          </cell>
          <cell r="C20" t="str">
            <v>Bayano</v>
          </cell>
          <cell r="D20" t="str">
            <v>BAY230</v>
          </cell>
          <cell r="E20">
            <v>8</v>
          </cell>
        </row>
        <row r="21">
          <cell r="A21">
            <v>6170</v>
          </cell>
          <cell r="B21">
            <v>115</v>
          </cell>
          <cell r="C21" t="str">
            <v>Cemento Panamá</v>
          </cell>
          <cell r="D21" t="str">
            <v>CPA115</v>
          </cell>
          <cell r="E21">
            <v>9</v>
          </cell>
        </row>
        <row r="22">
          <cell r="A22">
            <v>6171</v>
          </cell>
          <cell r="B22">
            <v>230</v>
          </cell>
          <cell r="C22" t="str">
            <v>Pacora</v>
          </cell>
          <cell r="D22" t="str">
            <v>PAC230</v>
          </cell>
          <cell r="E22">
            <v>7</v>
          </cell>
        </row>
        <row r="23">
          <cell r="A23">
            <v>6173</v>
          </cell>
          <cell r="B23">
            <v>115</v>
          </cell>
          <cell r="C23" t="str">
            <v>Santa Rita</v>
          </cell>
          <cell r="D23" t="str">
            <v>STR115</v>
          </cell>
          <cell r="E23">
            <v>9</v>
          </cell>
        </row>
        <row r="24">
          <cell r="A24">
            <v>6179</v>
          </cell>
          <cell r="B24">
            <v>230</v>
          </cell>
          <cell r="C24" t="str">
            <v>Guasquitas</v>
          </cell>
          <cell r="D24" t="str">
            <v>GUA230</v>
          </cell>
          <cell r="E24">
            <v>2</v>
          </cell>
        </row>
        <row r="25">
          <cell r="A25">
            <v>6182</v>
          </cell>
          <cell r="B25">
            <v>230</v>
          </cell>
          <cell r="C25" t="str">
            <v>Veladero</v>
          </cell>
          <cell r="D25" t="str">
            <v>VEL230</v>
          </cell>
          <cell r="E25">
            <v>4</v>
          </cell>
        </row>
        <row r="26">
          <cell r="A26">
            <v>6240</v>
          </cell>
          <cell r="B26">
            <v>230</v>
          </cell>
          <cell r="C26" t="str">
            <v>El Higo</v>
          </cell>
          <cell r="D26" t="str">
            <v>EHIG230</v>
          </cell>
          <cell r="E26">
            <v>5</v>
          </cell>
        </row>
        <row r="27">
          <cell r="A27">
            <v>6243</v>
          </cell>
          <cell r="B27">
            <v>230</v>
          </cell>
          <cell r="C27" t="str">
            <v>Vista Hermosa</v>
          </cell>
          <cell r="D27" t="str">
            <v>VHE230</v>
          </cell>
          <cell r="E27">
            <v>7</v>
          </cell>
        </row>
        <row r="28">
          <cell r="A28">
            <v>6260</v>
          </cell>
          <cell r="B28">
            <v>230</v>
          </cell>
          <cell r="C28" t="str">
            <v>Changuinola</v>
          </cell>
          <cell r="D28" t="str">
            <v>CHA230</v>
          </cell>
          <cell r="E28">
            <v>10</v>
          </cell>
        </row>
        <row r="29">
          <cell r="A29">
            <v>6261</v>
          </cell>
          <cell r="B29">
            <v>115</v>
          </cell>
          <cell r="C29" t="str">
            <v>Changuinola 115</v>
          </cell>
          <cell r="D29" t="str">
            <v>CHA115</v>
          </cell>
          <cell r="E29">
            <v>10</v>
          </cell>
        </row>
        <row r="30">
          <cell r="A30">
            <v>6262</v>
          </cell>
          <cell r="B30">
            <v>34.5</v>
          </cell>
          <cell r="C30" t="str">
            <v>Changuinola 34.5</v>
          </cell>
          <cell r="D30" t="str">
            <v>CHA34</v>
          </cell>
          <cell r="E30">
            <v>10</v>
          </cell>
        </row>
        <row r="31">
          <cell r="A31">
            <v>6263</v>
          </cell>
          <cell r="B31">
            <v>230</v>
          </cell>
          <cell r="C31" t="str">
            <v>La Esperanza</v>
          </cell>
          <cell r="D31" t="str">
            <v>ESP230</v>
          </cell>
          <cell r="E31">
            <v>10</v>
          </cell>
        </row>
        <row r="32">
          <cell r="A32">
            <v>6290</v>
          </cell>
          <cell r="B32">
            <v>115</v>
          </cell>
          <cell r="C32" t="str">
            <v>Cativá II</v>
          </cell>
          <cell r="D32" t="str">
            <v>CATII115</v>
          </cell>
          <cell r="E32">
            <v>9</v>
          </cell>
        </row>
        <row r="33">
          <cell r="A33">
            <v>6340</v>
          </cell>
          <cell r="B33">
            <v>230</v>
          </cell>
          <cell r="C33" t="str">
            <v>Cañazas</v>
          </cell>
          <cell r="D33" t="str">
            <v>CAN230</v>
          </cell>
          <cell r="E33">
            <v>10</v>
          </cell>
        </row>
        <row r="34">
          <cell r="A34">
            <v>6380</v>
          </cell>
          <cell r="B34">
            <v>230</v>
          </cell>
          <cell r="C34" t="str">
            <v>Boquerón III</v>
          </cell>
          <cell r="D34" t="str">
            <v>BOQIII230</v>
          </cell>
          <cell r="E34">
            <v>4</v>
          </cell>
        </row>
        <row r="35">
          <cell r="A35">
            <v>6460</v>
          </cell>
          <cell r="B35">
            <v>230</v>
          </cell>
          <cell r="C35" t="str">
            <v>El Coco</v>
          </cell>
          <cell r="D35" t="str">
            <v>ECO230</v>
          </cell>
          <cell r="E35">
            <v>5</v>
          </cell>
        </row>
        <row r="36">
          <cell r="A36">
            <v>6470</v>
          </cell>
          <cell r="B36">
            <v>230</v>
          </cell>
          <cell r="C36" t="str">
            <v>24 de Diciembre</v>
          </cell>
          <cell r="D36" t="str">
            <v>24DIC230</v>
          </cell>
          <cell r="E36">
            <v>7</v>
          </cell>
        </row>
        <row r="37">
          <cell r="A37">
            <v>6520</v>
          </cell>
          <cell r="B37">
            <v>230</v>
          </cell>
          <cell r="C37" t="str">
            <v>San Bartolo</v>
          </cell>
          <cell r="D37" t="str">
            <v>SBA34</v>
          </cell>
          <cell r="E37">
            <v>4</v>
          </cell>
        </row>
        <row r="38">
          <cell r="A38">
            <v>6550</v>
          </cell>
          <cell r="B38">
            <v>230</v>
          </cell>
          <cell r="C38" t="str">
            <v>Bella Vista</v>
          </cell>
          <cell r="D38" t="str">
            <v>BEV230</v>
          </cell>
          <cell r="E38">
            <v>4</v>
          </cell>
        </row>
        <row r="39">
          <cell r="A39">
            <v>6713</v>
          </cell>
          <cell r="B39">
            <v>230</v>
          </cell>
          <cell r="C39" t="str">
            <v>Burunga</v>
          </cell>
          <cell r="D39" t="str">
            <v>BUR230</v>
          </cell>
          <cell r="E39">
            <v>6</v>
          </cell>
        </row>
        <row r="40">
          <cell r="A40">
            <v>6801</v>
          </cell>
          <cell r="B40">
            <v>230</v>
          </cell>
          <cell r="C40" t="str">
            <v>Costa Norte</v>
          </cell>
          <cell r="D40" t="str">
            <v>CNO230</v>
          </cell>
          <cell r="E40">
            <v>9</v>
          </cell>
        </row>
        <row r="41">
          <cell r="A41">
            <v>6830</v>
          </cell>
          <cell r="B41">
            <v>230</v>
          </cell>
          <cell r="C41" t="str">
            <v>Antón</v>
          </cell>
          <cell r="D41" t="str">
            <v>ANT230</v>
          </cell>
          <cell r="E41">
            <v>6</v>
          </cell>
        </row>
        <row r="42">
          <cell r="A42">
            <v>7000</v>
          </cell>
          <cell r="C42" t="str">
            <v>T1-Panama</v>
          </cell>
          <cell r="D42" t="str">
            <v>T1-PAN</v>
          </cell>
          <cell r="E42">
            <v>7</v>
          </cell>
        </row>
        <row r="43">
          <cell r="A43">
            <v>7001</v>
          </cell>
          <cell r="C43" t="str">
            <v>T2-Panama</v>
          </cell>
          <cell r="D43" t="str">
            <v>T2-PAN</v>
          </cell>
          <cell r="E43">
            <v>7</v>
          </cell>
        </row>
        <row r="44">
          <cell r="A44">
            <v>7002</v>
          </cell>
          <cell r="C44" t="str">
            <v>T3-Panama</v>
          </cell>
          <cell r="D44" t="str">
            <v>T3-PAN</v>
          </cell>
          <cell r="E44">
            <v>7</v>
          </cell>
        </row>
        <row r="45">
          <cell r="A45">
            <v>7003</v>
          </cell>
          <cell r="C45" t="str">
            <v>T5-Panama</v>
          </cell>
          <cell r="D45" t="str">
            <v>T5-PAN</v>
          </cell>
          <cell r="E45">
            <v>7</v>
          </cell>
        </row>
        <row r="46">
          <cell r="A46">
            <v>7004</v>
          </cell>
          <cell r="C46" t="str">
            <v>T1-PanamaII</v>
          </cell>
          <cell r="D46" t="str">
            <v>T1-PANII</v>
          </cell>
          <cell r="E46">
            <v>7</v>
          </cell>
        </row>
        <row r="47">
          <cell r="A47">
            <v>7005</v>
          </cell>
          <cell r="C47" t="str">
            <v>T2-PanamaII</v>
          </cell>
          <cell r="D47" t="str">
            <v>T2-PANII</v>
          </cell>
          <cell r="E47">
            <v>7</v>
          </cell>
        </row>
        <row r="48">
          <cell r="A48">
            <v>7006</v>
          </cell>
          <cell r="C48" t="str">
            <v>T3-PanamaII</v>
          </cell>
          <cell r="D48" t="str">
            <v>T3-PANII</v>
          </cell>
          <cell r="E48">
            <v>7</v>
          </cell>
        </row>
        <row r="49">
          <cell r="A49">
            <v>7007</v>
          </cell>
          <cell r="C49" t="str">
            <v>T1-Chorrera</v>
          </cell>
          <cell r="D49" t="str">
            <v>T1-CHO</v>
          </cell>
          <cell r="E49">
            <v>6</v>
          </cell>
        </row>
        <row r="50">
          <cell r="A50">
            <v>7008</v>
          </cell>
          <cell r="C50" t="str">
            <v>T2-Chorrera</v>
          </cell>
          <cell r="D50" t="str">
            <v>T2-CHO</v>
          </cell>
          <cell r="E50">
            <v>6</v>
          </cell>
        </row>
        <row r="51">
          <cell r="A51">
            <v>7009</v>
          </cell>
          <cell r="C51" t="str">
            <v>T3-Chorrera</v>
          </cell>
          <cell r="D51" t="str">
            <v>T3-CHO</v>
          </cell>
          <cell r="E51">
            <v>6</v>
          </cell>
        </row>
        <row r="52">
          <cell r="A52">
            <v>7010</v>
          </cell>
          <cell r="C52" t="str">
            <v>T1-Llano Sanchez</v>
          </cell>
          <cell r="D52" t="str">
            <v>T1-LSA</v>
          </cell>
          <cell r="E52">
            <v>5</v>
          </cell>
        </row>
        <row r="53">
          <cell r="A53">
            <v>7011</v>
          </cell>
          <cell r="C53" t="str">
            <v>T2-Llano Sanchez</v>
          </cell>
          <cell r="D53" t="str">
            <v>T2-LSA</v>
          </cell>
          <cell r="E53">
            <v>5</v>
          </cell>
        </row>
        <row r="54">
          <cell r="A54">
            <v>7012</v>
          </cell>
          <cell r="C54" t="str">
            <v>T3-Llano Sanchez</v>
          </cell>
          <cell r="D54" t="str">
            <v>T3-LSA</v>
          </cell>
          <cell r="E54">
            <v>5</v>
          </cell>
        </row>
        <row r="55">
          <cell r="A55">
            <v>7013</v>
          </cell>
          <cell r="C55" t="str">
            <v>T1-Mata de Nance</v>
          </cell>
          <cell r="D55" t="str">
            <v>T1-MDN</v>
          </cell>
          <cell r="E55">
            <v>4</v>
          </cell>
        </row>
        <row r="56">
          <cell r="A56">
            <v>7014</v>
          </cell>
          <cell r="C56" t="str">
            <v>T2-Mata de Nance</v>
          </cell>
          <cell r="D56" t="str">
            <v>T2-MDN</v>
          </cell>
          <cell r="E56">
            <v>4</v>
          </cell>
        </row>
        <row r="57">
          <cell r="A57">
            <v>7015</v>
          </cell>
          <cell r="C57" t="str">
            <v>T3-Mata de Nance</v>
          </cell>
          <cell r="D57" t="str">
            <v>T3-MDN</v>
          </cell>
          <cell r="E57">
            <v>5</v>
          </cell>
        </row>
        <row r="58">
          <cell r="A58">
            <v>7016</v>
          </cell>
          <cell r="C58" t="str">
            <v>T1-Changuinola</v>
          </cell>
          <cell r="D58" t="str">
            <v>T1-CHA</v>
          </cell>
          <cell r="E58">
            <v>10</v>
          </cell>
        </row>
      </sheetData>
      <sheetData sheetId="2"/>
      <sheetData sheetId="3">
        <row r="2">
          <cell r="C2">
            <v>230</v>
          </cell>
          <cell r="F2" t="str">
            <v>S</v>
          </cell>
          <cell r="G2">
            <v>12.94</v>
          </cell>
        </row>
        <row r="3">
          <cell r="C3">
            <v>230</v>
          </cell>
          <cell r="F3" t="str">
            <v>S</v>
          </cell>
          <cell r="G3">
            <v>12.94</v>
          </cell>
        </row>
        <row r="4">
          <cell r="C4">
            <v>230</v>
          </cell>
          <cell r="F4" t="str">
            <v>S</v>
          </cell>
          <cell r="G4">
            <v>40.299999999999997</v>
          </cell>
        </row>
        <row r="5">
          <cell r="C5">
            <v>230</v>
          </cell>
          <cell r="F5" t="str">
            <v>SD</v>
          </cell>
          <cell r="G5">
            <v>37.5</v>
          </cell>
        </row>
        <row r="6">
          <cell r="C6">
            <v>230</v>
          </cell>
          <cell r="F6" t="str">
            <v>SD</v>
          </cell>
          <cell r="G6">
            <v>37.5</v>
          </cell>
        </row>
        <row r="7">
          <cell r="C7">
            <v>230</v>
          </cell>
          <cell r="F7" t="str">
            <v>S</v>
          </cell>
          <cell r="G7">
            <v>40.299999999999997</v>
          </cell>
        </row>
        <row r="8">
          <cell r="C8" t="str">
            <v>TX</v>
          </cell>
          <cell r="F8" t="str">
            <v>S</v>
          </cell>
        </row>
        <row r="9">
          <cell r="C9" t="str">
            <v>TX</v>
          </cell>
          <cell r="F9" t="str">
            <v>S</v>
          </cell>
        </row>
        <row r="10">
          <cell r="C10" t="str">
            <v>TX</v>
          </cell>
          <cell r="F10" t="str">
            <v>S</v>
          </cell>
        </row>
        <row r="11">
          <cell r="C11" t="str">
            <v>TX</v>
          </cell>
          <cell r="F11" t="str">
            <v>S</v>
          </cell>
        </row>
        <row r="12">
          <cell r="C12">
            <v>115</v>
          </cell>
          <cell r="F12" t="str">
            <v>S</v>
          </cell>
          <cell r="G12">
            <v>0.8</v>
          </cell>
        </row>
        <row r="13">
          <cell r="C13">
            <v>115</v>
          </cell>
          <cell r="F13" t="str">
            <v>S</v>
          </cell>
          <cell r="G13">
            <v>0.8</v>
          </cell>
        </row>
        <row r="14">
          <cell r="C14">
            <v>115</v>
          </cell>
          <cell r="F14" t="str">
            <v>S</v>
          </cell>
          <cell r="G14">
            <v>22.5</v>
          </cell>
        </row>
        <row r="15">
          <cell r="C15">
            <v>115</v>
          </cell>
          <cell r="F15" t="str">
            <v>S</v>
          </cell>
          <cell r="G15">
            <v>40.700000000000003</v>
          </cell>
        </row>
        <row r="16">
          <cell r="C16" t="str">
            <v>TX</v>
          </cell>
          <cell r="F16" t="str">
            <v>S</v>
          </cell>
        </row>
        <row r="17">
          <cell r="C17" t="str">
            <v>TX</v>
          </cell>
          <cell r="F17" t="str">
            <v>S</v>
          </cell>
        </row>
        <row r="18">
          <cell r="C18" t="str">
            <v>TX</v>
          </cell>
          <cell r="F18" t="str">
            <v>S</v>
          </cell>
        </row>
        <row r="19">
          <cell r="C19" t="str">
            <v>TX</v>
          </cell>
          <cell r="F19" t="str">
            <v>S</v>
          </cell>
        </row>
        <row r="20">
          <cell r="C20">
            <v>230</v>
          </cell>
          <cell r="F20" t="str">
            <v>S</v>
          </cell>
          <cell r="G20">
            <v>19</v>
          </cell>
        </row>
        <row r="21">
          <cell r="C21">
            <v>230</v>
          </cell>
          <cell r="F21" t="str">
            <v>S</v>
          </cell>
          <cell r="G21">
            <v>150.33000000000001</v>
          </cell>
        </row>
        <row r="22">
          <cell r="C22">
            <v>230</v>
          </cell>
          <cell r="F22" t="str">
            <v>S</v>
          </cell>
          <cell r="G22">
            <v>9.1</v>
          </cell>
        </row>
        <row r="23">
          <cell r="C23">
            <v>230</v>
          </cell>
          <cell r="F23" t="str">
            <v>S</v>
          </cell>
          <cell r="G23">
            <v>35.340000000000003</v>
          </cell>
        </row>
        <row r="24">
          <cell r="C24" t="str">
            <v>TX</v>
          </cell>
          <cell r="F24" t="str">
            <v>S</v>
          </cell>
        </row>
        <row r="25">
          <cell r="C25" t="str">
            <v>TX</v>
          </cell>
          <cell r="F25" t="str">
            <v>S</v>
          </cell>
        </row>
        <row r="26">
          <cell r="C26" t="str">
            <v>TX</v>
          </cell>
          <cell r="F26" t="str">
            <v>S</v>
          </cell>
        </row>
        <row r="27">
          <cell r="C27" t="str">
            <v>TX</v>
          </cell>
          <cell r="F27" t="str">
            <v>S</v>
          </cell>
        </row>
        <row r="28">
          <cell r="C28" t="str">
            <v>TX</v>
          </cell>
          <cell r="F28" t="str">
            <v>S</v>
          </cell>
        </row>
        <row r="29">
          <cell r="C29" t="str">
            <v>TX</v>
          </cell>
          <cell r="F29" t="str">
            <v>S</v>
          </cell>
        </row>
        <row r="30">
          <cell r="C30">
            <v>230</v>
          </cell>
          <cell r="F30" t="str">
            <v>S</v>
          </cell>
          <cell r="G30">
            <v>60.5</v>
          </cell>
        </row>
        <row r="31">
          <cell r="C31">
            <v>230</v>
          </cell>
          <cell r="F31" t="str">
            <v>S</v>
          </cell>
          <cell r="G31">
            <v>60.5</v>
          </cell>
        </row>
        <row r="32">
          <cell r="C32">
            <v>230</v>
          </cell>
          <cell r="F32" t="str">
            <v>SD</v>
          </cell>
          <cell r="G32">
            <v>100</v>
          </cell>
        </row>
        <row r="33">
          <cell r="C33">
            <v>230</v>
          </cell>
          <cell r="F33" t="str">
            <v>SD</v>
          </cell>
          <cell r="G33">
            <v>55.75</v>
          </cell>
        </row>
        <row r="34">
          <cell r="C34">
            <v>230</v>
          </cell>
          <cell r="F34" t="str">
            <v>SD</v>
          </cell>
          <cell r="G34">
            <v>154.94</v>
          </cell>
        </row>
        <row r="35">
          <cell r="C35">
            <v>230</v>
          </cell>
          <cell r="F35" t="str">
            <v>SD</v>
          </cell>
          <cell r="G35">
            <v>110.21</v>
          </cell>
        </row>
        <row r="36">
          <cell r="C36">
            <v>230</v>
          </cell>
          <cell r="F36" t="str">
            <v>SD</v>
          </cell>
          <cell r="G36">
            <v>110.21</v>
          </cell>
        </row>
        <row r="37">
          <cell r="C37">
            <v>230</v>
          </cell>
          <cell r="F37" t="str">
            <v>S</v>
          </cell>
          <cell r="G37">
            <v>109.36</v>
          </cell>
        </row>
        <row r="38">
          <cell r="C38">
            <v>230</v>
          </cell>
          <cell r="F38" t="str">
            <v>S</v>
          </cell>
          <cell r="G38">
            <v>81.55</v>
          </cell>
        </row>
        <row r="39">
          <cell r="C39">
            <v>230</v>
          </cell>
          <cell r="F39" t="str">
            <v>S</v>
          </cell>
          <cell r="G39">
            <v>81.55</v>
          </cell>
        </row>
        <row r="40">
          <cell r="C40">
            <v>230</v>
          </cell>
          <cell r="F40" t="str">
            <v>S</v>
          </cell>
          <cell r="G40">
            <v>44.67</v>
          </cell>
        </row>
        <row r="41">
          <cell r="C41">
            <v>230</v>
          </cell>
          <cell r="F41" t="str">
            <v>S</v>
          </cell>
          <cell r="G41">
            <v>44.67</v>
          </cell>
        </row>
        <row r="42">
          <cell r="C42">
            <v>230</v>
          </cell>
          <cell r="F42" t="str">
            <v>S</v>
          </cell>
          <cell r="G42">
            <v>67.7</v>
          </cell>
        </row>
        <row r="43">
          <cell r="C43">
            <v>230</v>
          </cell>
          <cell r="F43" t="str">
            <v>S</v>
          </cell>
          <cell r="G43">
            <v>67.7</v>
          </cell>
        </row>
        <row r="44">
          <cell r="C44">
            <v>230</v>
          </cell>
          <cell r="F44" t="str">
            <v>S</v>
          </cell>
          <cell r="G44">
            <v>103.36</v>
          </cell>
        </row>
        <row r="45">
          <cell r="C45" t="str">
            <v>TX</v>
          </cell>
          <cell r="F45" t="str">
            <v>S</v>
          </cell>
        </row>
        <row r="46">
          <cell r="C46" t="str">
            <v>TX</v>
          </cell>
          <cell r="F46" t="str">
            <v>S</v>
          </cell>
        </row>
        <row r="47">
          <cell r="C47" t="str">
            <v>TX</v>
          </cell>
          <cell r="F47" t="str">
            <v>S</v>
          </cell>
        </row>
        <row r="48">
          <cell r="C48" t="str">
            <v>TX</v>
          </cell>
          <cell r="F48" t="str">
            <v>S</v>
          </cell>
        </row>
        <row r="49">
          <cell r="C49" t="str">
            <v>TX</v>
          </cell>
          <cell r="F49" t="str">
            <v>S</v>
          </cell>
        </row>
        <row r="50">
          <cell r="C50" t="str">
            <v>TX</v>
          </cell>
          <cell r="F50" t="str">
            <v>S</v>
          </cell>
        </row>
        <row r="51">
          <cell r="C51" t="str">
            <v>TX</v>
          </cell>
          <cell r="F51" t="str">
            <v>S</v>
          </cell>
        </row>
        <row r="52">
          <cell r="C52" t="str">
            <v>TX</v>
          </cell>
          <cell r="F52" t="str">
            <v>S</v>
          </cell>
        </row>
        <row r="53">
          <cell r="C53">
            <v>230</v>
          </cell>
          <cell r="F53" t="str">
            <v>S</v>
          </cell>
          <cell r="G53">
            <v>37.5</v>
          </cell>
        </row>
        <row r="54">
          <cell r="C54">
            <v>230</v>
          </cell>
          <cell r="F54" t="str">
            <v>S</v>
          </cell>
          <cell r="G54">
            <v>37.5</v>
          </cell>
        </row>
        <row r="55">
          <cell r="C55">
            <v>230</v>
          </cell>
          <cell r="F55" t="str">
            <v>S</v>
          </cell>
          <cell r="G55">
            <v>84.49</v>
          </cell>
        </row>
        <row r="56">
          <cell r="C56">
            <v>230</v>
          </cell>
          <cell r="F56" t="str">
            <v>S</v>
          </cell>
          <cell r="G56">
            <v>84.49</v>
          </cell>
        </row>
        <row r="57">
          <cell r="C57">
            <v>230</v>
          </cell>
          <cell r="F57" t="str">
            <v>S</v>
          </cell>
          <cell r="G57">
            <v>24.33</v>
          </cell>
        </row>
        <row r="58">
          <cell r="C58" t="str">
            <v>TX</v>
          </cell>
          <cell r="F58" t="str">
            <v>S</v>
          </cell>
        </row>
        <row r="59">
          <cell r="C59" t="str">
            <v>TX</v>
          </cell>
          <cell r="F59" t="str">
            <v>S</v>
          </cell>
        </row>
        <row r="60">
          <cell r="C60" t="str">
            <v>TX</v>
          </cell>
          <cell r="F60" t="str">
            <v>S</v>
          </cell>
        </row>
        <row r="61">
          <cell r="C61">
            <v>115</v>
          </cell>
          <cell r="F61" t="str">
            <v>S</v>
          </cell>
          <cell r="G61">
            <v>25</v>
          </cell>
        </row>
        <row r="62">
          <cell r="C62">
            <v>115</v>
          </cell>
          <cell r="F62" t="str">
            <v>S</v>
          </cell>
          <cell r="G62">
            <v>25</v>
          </cell>
        </row>
        <row r="63">
          <cell r="C63" t="str">
            <v>TX</v>
          </cell>
          <cell r="F63" t="str">
            <v>S</v>
          </cell>
        </row>
        <row r="64">
          <cell r="C64" t="str">
            <v>TX</v>
          </cell>
          <cell r="F64" t="str">
            <v>S</v>
          </cell>
        </row>
        <row r="65">
          <cell r="C65" t="str">
            <v>TX</v>
          </cell>
          <cell r="F65" t="str">
            <v>S</v>
          </cell>
        </row>
        <row r="66">
          <cell r="C66" t="str">
            <v>TX</v>
          </cell>
          <cell r="F66" t="str">
            <v>S</v>
          </cell>
        </row>
        <row r="67">
          <cell r="C67" t="str">
            <v>TX</v>
          </cell>
          <cell r="F67" t="str">
            <v>S</v>
          </cell>
        </row>
        <row r="68">
          <cell r="C68" t="str">
            <v>TX</v>
          </cell>
          <cell r="F68" t="str">
            <v>S</v>
          </cell>
        </row>
        <row r="69">
          <cell r="C69">
            <v>230</v>
          </cell>
          <cell r="F69" t="str">
            <v>S</v>
          </cell>
          <cell r="G69">
            <v>29.75</v>
          </cell>
        </row>
        <row r="70">
          <cell r="C70">
            <v>115</v>
          </cell>
          <cell r="F70" t="str">
            <v>S</v>
          </cell>
          <cell r="G70">
            <v>46.6</v>
          </cell>
        </row>
        <row r="71">
          <cell r="C71">
            <v>115</v>
          </cell>
          <cell r="F71" t="str">
            <v>S</v>
          </cell>
          <cell r="G71">
            <v>46.6</v>
          </cell>
        </row>
        <row r="72">
          <cell r="C72">
            <v>115</v>
          </cell>
          <cell r="F72" t="str">
            <v>S</v>
          </cell>
          <cell r="G72">
            <v>31.5</v>
          </cell>
        </row>
        <row r="73">
          <cell r="C73">
            <v>115</v>
          </cell>
          <cell r="F73" t="str">
            <v>S</v>
          </cell>
          <cell r="G73">
            <v>6.2</v>
          </cell>
        </row>
        <row r="74">
          <cell r="C74">
            <v>115</v>
          </cell>
          <cell r="F74" t="str">
            <v>S</v>
          </cell>
          <cell r="G74">
            <v>0.8</v>
          </cell>
        </row>
        <row r="75">
          <cell r="C75">
            <v>115</v>
          </cell>
          <cell r="F75" t="str">
            <v>S</v>
          </cell>
          <cell r="G75">
            <v>16.7</v>
          </cell>
        </row>
        <row r="76">
          <cell r="C76">
            <v>230</v>
          </cell>
          <cell r="F76" t="str">
            <v>S</v>
          </cell>
          <cell r="G76">
            <v>16</v>
          </cell>
        </row>
        <row r="77">
          <cell r="C77">
            <v>230</v>
          </cell>
          <cell r="F77" t="str">
            <v>S</v>
          </cell>
          <cell r="G77">
            <v>96.87</v>
          </cell>
        </row>
        <row r="78">
          <cell r="C78">
            <v>230</v>
          </cell>
          <cell r="F78" t="str">
            <v>S</v>
          </cell>
          <cell r="G78">
            <v>49.14</v>
          </cell>
        </row>
        <row r="79">
          <cell r="C79">
            <v>230</v>
          </cell>
          <cell r="F79" t="str">
            <v>S</v>
          </cell>
          <cell r="G79">
            <v>57</v>
          </cell>
        </row>
        <row r="80">
          <cell r="C80">
            <v>115</v>
          </cell>
          <cell r="F80" t="str">
            <v>S</v>
          </cell>
          <cell r="G80">
            <v>6.2</v>
          </cell>
        </row>
        <row r="81">
          <cell r="C81">
            <v>230</v>
          </cell>
          <cell r="F81" t="str">
            <v>S</v>
          </cell>
          <cell r="G81">
            <v>84.3</v>
          </cell>
        </row>
        <row r="82">
          <cell r="C82">
            <v>230</v>
          </cell>
          <cell r="F82" t="str">
            <v>S</v>
          </cell>
          <cell r="G82">
            <v>84.3</v>
          </cell>
        </row>
        <row r="83">
          <cell r="C83">
            <v>230</v>
          </cell>
          <cell r="F83" t="str">
            <v>S</v>
          </cell>
          <cell r="G83">
            <v>42.3</v>
          </cell>
        </row>
        <row r="84">
          <cell r="C84">
            <v>230</v>
          </cell>
          <cell r="F84" t="str">
            <v>S</v>
          </cell>
          <cell r="G84">
            <v>42.3</v>
          </cell>
        </row>
        <row r="85">
          <cell r="C85">
            <v>230</v>
          </cell>
          <cell r="F85" t="str">
            <v>S</v>
          </cell>
          <cell r="G85">
            <v>6</v>
          </cell>
        </row>
        <row r="86">
          <cell r="C86">
            <v>230</v>
          </cell>
          <cell r="F86" t="str">
            <v>S</v>
          </cell>
          <cell r="G86">
            <v>1.4</v>
          </cell>
        </row>
        <row r="87">
          <cell r="C87">
            <v>230</v>
          </cell>
          <cell r="F87" t="str">
            <v>S</v>
          </cell>
          <cell r="G87">
            <v>24.88</v>
          </cell>
        </row>
        <row r="88">
          <cell r="C88">
            <v>230</v>
          </cell>
          <cell r="F88" t="str">
            <v>S</v>
          </cell>
          <cell r="G88">
            <v>76.650000000000006</v>
          </cell>
        </row>
        <row r="89">
          <cell r="C89" t="str">
            <v>TX</v>
          </cell>
          <cell r="F89" t="str">
            <v>S</v>
          </cell>
        </row>
        <row r="90">
          <cell r="C90" t="str">
            <v>TX</v>
          </cell>
          <cell r="F90" t="str">
            <v>S</v>
          </cell>
        </row>
        <row r="91">
          <cell r="C91" t="str">
            <v>TX</v>
          </cell>
          <cell r="F91" t="str">
            <v>S</v>
          </cell>
        </row>
        <row r="92">
          <cell r="C92">
            <v>230</v>
          </cell>
          <cell r="F92" t="str">
            <v>S</v>
          </cell>
          <cell r="G92">
            <v>44</v>
          </cell>
        </row>
        <row r="93">
          <cell r="C93">
            <v>230</v>
          </cell>
          <cell r="F93" t="str">
            <v>S</v>
          </cell>
          <cell r="G93">
            <v>114.98</v>
          </cell>
        </row>
        <row r="94">
          <cell r="C94">
            <v>230</v>
          </cell>
          <cell r="F94" t="str">
            <v>N</v>
          </cell>
          <cell r="G94">
            <v>48.55</v>
          </cell>
        </row>
        <row r="95">
          <cell r="C95">
            <v>230</v>
          </cell>
          <cell r="F95" t="str">
            <v>N</v>
          </cell>
          <cell r="G95">
            <v>48.55</v>
          </cell>
        </row>
      </sheetData>
      <sheetData sheetId="4"/>
      <sheetData sheetId="5">
        <row r="2">
          <cell r="L2">
            <v>11181.051490669599</v>
          </cell>
        </row>
        <row r="17">
          <cell r="L17">
            <v>9737.3291154014005</v>
          </cell>
        </row>
      </sheetData>
      <sheetData sheetId="6"/>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d"/>
      <sheetName val="Ram"/>
      <sheetName val="%USO"/>
      <sheetName val="Dias"/>
      <sheetName val="ENERGIA"/>
      <sheetName val="ENERGIA (Cargos)"/>
      <sheetName val="1. DatosFijos"/>
    </sheetNames>
    <sheetDataSet>
      <sheetData sheetId="0"/>
      <sheetData sheetId="1" refreshError="1">
        <row r="2">
          <cell r="A2">
            <v>6001</v>
          </cell>
        </row>
        <row r="3">
          <cell r="A3">
            <v>6002</v>
          </cell>
          <cell r="B3">
            <v>115</v>
          </cell>
          <cell r="C3" t="str">
            <v>Panamá 115</v>
          </cell>
          <cell r="D3" t="str">
            <v>PAN115</v>
          </cell>
          <cell r="E3">
            <v>7</v>
          </cell>
        </row>
        <row r="4">
          <cell r="A4">
            <v>6003</v>
          </cell>
          <cell r="B4">
            <v>230</v>
          </cell>
          <cell r="C4" t="str">
            <v>Panamá II 230</v>
          </cell>
          <cell r="D4" t="str">
            <v>PANII230</v>
          </cell>
          <cell r="E4">
            <v>7</v>
          </cell>
        </row>
        <row r="5">
          <cell r="A5">
            <v>6004</v>
          </cell>
          <cell r="B5">
            <v>115</v>
          </cell>
          <cell r="C5" t="str">
            <v>Panamá II 115</v>
          </cell>
          <cell r="D5" t="str">
            <v>PANII115</v>
          </cell>
          <cell r="E5">
            <v>7</v>
          </cell>
        </row>
        <row r="6">
          <cell r="A6">
            <v>6005</v>
          </cell>
          <cell r="B6">
            <v>230</v>
          </cell>
          <cell r="C6" t="str">
            <v>Chorrera 230</v>
          </cell>
          <cell r="D6" t="str">
            <v>CHO230</v>
          </cell>
          <cell r="E6">
            <v>6</v>
          </cell>
        </row>
        <row r="7">
          <cell r="A7">
            <v>6008</v>
          </cell>
          <cell r="B7">
            <v>230</v>
          </cell>
          <cell r="C7" t="str">
            <v>Llano Sánchez 230</v>
          </cell>
          <cell r="D7" t="str">
            <v>LSA230</v>
          </cell>
          <cell r="E7">
            <v>5</v>
          </cell>
        </row>
        <row r="8">
          <cell r="A8">
            <v>6009</v>
          </cell>
          <cell r="B8">
            <v>115</v>
          </cell>
          <cell r="C8" t="str">
            <v>Llano Sánchez 115</v>
          </cell>
          <cell r="D8" t="str">
            <v>LSA115</v>
          </cell>
          <cell r="E8">
            <v>5</v>
          </cell>
        </row>
        <row r="9">
          <cell r="A9">
            <v>6010</v>
          </cell>
          <cell r="B9">
            <v>34.5</v>
          </cell>
          <cell r="C9" t="str">
            <v>Llano Sánchez 34.5</v>
          </cell>
          <cell r="D9" t="str">
            <v>LSA34</v>
          </cell>
          <cell r="E9">
            <v>5</v>
          </cell>
        </row>
        <row r="10">
          <cell r="A10">
            <v>6011</v>
          </cell>
          <cell r="B10">
            <v>230</v>
          </cell>
          <cell r="C10" t="str">
            <v>Mata de Nance 230</v>
          </cell>
          <cell r="D10" t="str">
            <v>MDN230</v>
          </cell>
          <cell r="E10">
            <v>4</v>
          </cell>
        </row>
        <row r="11">
          <cell r="A11">
            <v>6012</v>
          </cell>
          <cell r="B11">
            <v>115</v>
          </cell>
          <cell r="C11" t="str">
            <v>Mata de Nance 115</v>
          </cell>
          <cell r="D11" t="str">
            <v>MDN115</v>
          </cell>
          <cell r="E11">
            <v>4</v>
          </cell>
        </row>
        <row r="12">
          <cell r="A12">
            <v>6013</v>
          </cell>
          <cell r="B12">
            <v>34.5</v>
          </cell>
          <cell r="C12" t="str">
            <v>Mata de Nance 34.5</v>
          </cell>
          <cell r="D12" t="str">
            <v>MDN34</v>
          </cell>
          <cell r="E12">
            <v>4</v>
          </cell>
        </row>
        <row r="13">
          <cell r="A13">
            <v>6014</v>
          </cell>
          <cell r="B13">
            <v>230</v>
          </cell>
          <cell r="C13" t="str">
            <v>Progreso 230</v>
          </cell>
          <cell r="D13" t="str">
            <v>PRO230</v>
          </cell>
          <cell r="E13">
            <v>1</v>
          </cell>
        </row>
        <row r="14">
          <cell r="A14">
            <v>6018</v>
          </cell>
          <cell r="B14">
            <v>115</v>
          </cell>
          <cell r="C14" t="str">
            <v>Cáceres</v>
          </cell>
          <cell r="D14" t="str">
            <v>CAC115</v>
          </cell>
          <cell r="E14">
            <v>7</v>
          </cell>
        </row>
        <row r="15">
          <cell r="A15">
            <v>6024</v>
          </cell>
          <cell r="B15">
            <v>115</v>
          </cell>
          <cell r="C15" t="str">
            <v>Chilibre</v>
          </cell>
          <cell r="D15" t="str">
            <v>CHI115</v>
          </cell>
          <cell r="E15">
            <v>7</v>
          </cell>
        </row>
        <row r="16">
          <cell r="A16">
            <v>6059</v>
          </cell>
          <cell r="B16">
            <v>115</v>
          </cell>
          <cell r="C16" t="str">
            <v>Las Minas 1</v>
          </cell>
          <cell r="D16" t="str">
            <v>LM1115</v>
          </cell>
          <cell r="E16">
            <v>9</v>
          </cell>
        </row>
        <row r="17">
          <cell r="A17">
            <v>6060</v>
          </cell>
          <cell r="B17">
            <v>115</v>
          </cell>
          <cell r="C17" t="str">
            <v>Las Minas 2</v>
          </cell>
          <cell r="D17" t="str">
            <v>LM2115</v>
          </cell>
          <cell r="E17">
            <v>9</v>
          </cell>
        </row>
        <row r="18">
          <cell r="A18">
            <v>6087</v>
          </cell>
          <cell r="B18">
            <v>115</v>
          </cell>
          <cell r="C18" t="str">
            <v>Caldera</v>
          </cell>
          <cell r="D18" t="str">
            <v>CAL115</v>
          </cell>
          <cell r="E18">
            <v>3</v>
          </cell>
        </row>
        <row r="19">
          <cell r="A19">
            <v>6096</v>
          </cell>
          <cell r="B19">
            <v>230</v>
          </cell>
          <cell r="C19" t="str">
            <v>Fortuna</v>
          </cell>
          <cell r="D19" t="str">
            <v>FOR230</v>
          </cell>
          <cell r="E19">
            <v>2</v>
          </cell>
        </row>
        <row r="20">
          <cell r="A20">
            <v>6100</v>
          </cell>
          <cell r="B20">
            <v>230</v>
          </cell>
          <cell r="C20" t="str">
            <v>Bayano</v>
          </cell>
          <cell r="D20" t="str">
            <v>BAY230</v>
          </cell>
          <cell r="E20">
            <v>8</v>
          </cell>
        </row>
        <row r="21">
          <cell r="A21">
            <v>6170</v>
          </cell>
          <cell r="B21">
            <v>115</v>
          </cell>
          <cell r="C21" t="str">
            <v>Cemento Panamá</v>
          </cell>
          <cell r="D21" t="str">
            <v>CPA115</v>
          </cell>
          <cell r="E21">
            <v>9</v>
          </cell>
        </row>
        <row r="22">
          <cell r="A22">
            <v>6171</v>
          </cell>
          <cell r="B22">
            <v>230</v>
          </cell>
          <cell r="C22" t="str">
            <v>Pacora</v>
          </cell>
          <cell r="D22" t="str">
            <v>PAC230</v>
          </cell>
          <cell r="E22">
            <v>7</v>
          </cell>
        </row>
        <row r="23">
          <cell r="A23">
            <v>6173</v>
          </cell>
          <cell r="B23">
            <v>115</v>
          </cell>
          <cell r="C23" t="str">
            <v>Santa Rita</v>
          </cell>
          <cell r="D23" t="str">
            <v>STR115</v>
          </cell>
          <cell r="E23">
            <v>9</v>
          </cell>
        </row>
        <row r="24">
          <cell r="A24">
            <v>6179</v>
          </cell>
          <cell r="B24">
            <v>230</v>
          </cell>
          <cell r="C24" t="str">
            <v>Guasquitas</v>
          </cell>
          <cell r="D24" t="str">
            <v>GUA230</v>
          </cell>
          <cell r="E24">
            <v>2</v>
          </cell>
        </row>
        <row r="25">
          <cell r="A25">
            <v>6182</v>
          </cell>
          <cell r="B25">
            <v>230</v>
          </cell>
          <cell r="C25" t="str">
            <v>Veladero</v>
          </cell>
          <cell r="D25" t="str">
            <v>VEL230</v>
          </cell>
          <cell r="E25">
            <v>4</v>
          </cell>
        </row>
        <row r="26">
          <cell r="A26">
            <v>6240</v>
          </cell>
          <cell r="B26">
            <v>230</v>
          </cell>
          <cell r="C26" t="str">
            <v>El Higo</v>
          </cell>
          <cell r="D26" t="str">
            <v>EHIG230</v>
          </cell>
          <cell r="E26">
            <v>6</v>
          </cell>
        </row>
        <row r="27">
          <cell r="A27">
            <v>6243</v>
          </cell>
          <cell r="B27">
            <v>230</v>
          </cell>
          <cell r="C27" t="str">
            <v>Vista Hermosa</v>
          </cell>
          <cell r="D27" t="str">
            <v>VHE230</v>
          </cell>
          <cell r="E27">
            <v>7</v>
          </cell>
        </row>
        <row r="28">
          <cell r="A28">
            <v>6260</v>
          </cell>
          <cell r="B28">
            <v>230</v>
          </cell>
          <cell r="C28" t="str">
            <v>Changuinola</v>
          </cell>
          <cell r="D28" t="str">
            <v>CHA230</v>
          </cell>
          <cell r="E28">
            <v>10</v>
          </cell>
        </row>
        <row r="29">
          <cell r="A29">
            <v>6261</v>
          </cell>
          <cell r="B29">
            <v>115</v>
          </cell>
          <cell r="C29" t="str">
            <v>Changuinola 115</v>
          </cell>
          <cell r="D29" t="str">
            <v>CHA115</v>
          </cell>
          <cell r="E29">
            <v>10</v>
          </cell>
        </row>
        <row r="30">
          <cell r="A30">
            <v>6262</v>
          </cell>
          <cell r="B30">
            <v>34.5</v>
          </cell>
          <cell r="C30" t="str">
            <v>Changuinola 34.5</v>
          </cell>
          <cell r="D30" t="str">
            <v>CHA34</v>
          </cell>
          <cell r="E30">
            <v>10</v>
          </cell>
        </row>
        <row r="31">
          <cell r="A31">
            <v>6263</v>
          </cell>
          <cell r="B31">
            <v>230</v>
          </cell>
          <cell r="C31" t="str">
            <v>La Esperanza</v>
          </cell>
          <cell r="D31" t="str">
            <v>ESP230</v>
          </cell>
          <cell r="E31">
            <v>10</v>
          </cell>
        </row>
        <row r="32">
          <cell r="A32">
            <v>6290</v>
          </cell>
          <cell r="B32">
            <v>115</v>
          </cell>
          <cell r="C32" t="str">
            <v>Cativá II</v>
          </cell>
          <cell r="D32" t="str">
            <v>CATII115</v>
          </cell>
          <cell r="E32">
            <v>9</v>
          </cell>
        </row>
        <row r="33">
          <cell r="A33">
            <v>6340</v>
          </cell>
          <cell r="B33">
            <v>230</v>
          </cell>
          <cell r="C33" t="str">
            <v>Cañazas</v>
          </cell>
          <cell r="D33" t="str">
            <v>CAN230</v>
          </cell>
          <cell r="E33">
            <v>10</v>
          </cell>
        </row>
        <row r="34">
          <cell r="A34">
            <v>6380</v>
          </cell>
          <cell r="B34">
            <v>230</v>
          </cell>
          <cell r="C34" t="str">
            <v>Boquerón III</v>
          </cell>
          <cell r="D34" t="str">
            <v>BOQIII230</v>
          </cell>
          <cell r="E34">
            <v>4</v>
          </cell>
        </row>
        <row r="35">
          <cell r="A35">
            <v>6460</v>
          </cell>
          <cell r="B35">
            <v>230</v>
          </cell>
          <cell r="C35" t="str">
            <v>El Coco</v>
          </cell>
          <cell r="D35" t="str">
            <v>ECO230</v>
          </cell>
          <cell r="E35">
            <v>5</v>
          </cell>
        </row>
        <row r="36">
          <cell r="A36">
            <v>6470</v>
          </cell>
          <cell r="B36">
            <v>230</v>
          </cell>
          <cell r="C36" t="str">
            <v>24 de Diciembre</v>
          </cell>
          <cell r="D36" t="str">
            <v>24DIC230</v>
          </cell>
          <cell r="E36">
            <v>7</v>
          </cell>
        </row>
        <row r="37">
          <cell r="A37">
            <v>6520</v>
          </cell>
          <cell r="B37">
            <v>230</v>
          </cell>
          <cell r="C37" t="str">
            <v>San Bartolo</v>
          </cell>
          <cell r="D37" t="str">
            <v>SBA34</v>
          </cell>
          <cell r="E37">
            <v>4</v>
          </cell>
        </row>
        <row r="38">
          <cell r="A38">
            <v>6550</v>
          </cell>
          <cell r="B38">
            <v>230</v>
          </cell>
          <cell r="C38" t="str">
            <v>Bella Vista</v>
          </cell>
          <cell r="D38" t="str">
            <v>BEV230</v>
          </cell>
          <cell r="E38">
            <v>4</v>
          </cell>
        </row>
        <row r="39">
          <cell r="A39">
            <v>6713</v>
          </cell>
          <cell r="B39">
            <v>230</v>
          </cell>
          <cell r="C39" t="str">
            <v>Burunga</v>
          </cell>
          <cell r="D39" t="str">
            <v>BUR230</v>
          </cell>
          <cell r="E39">
            <v>6</v>
          </cell>
        </row>
        <row r="40">
          <cell r="A40">
            <v>6801</v>
          </cell>
          <cell r="B40">
            <v>230</v>
          </cell>
          <cell r="C40" t="str">
            <v>Costa Norte</v>
          </cell>
          <cell r="D40" t="str">
            <v>CNO230</v>
          </cell>
          <cell r="E40">
            <v>9</v>
          </cell>
        </row>
        <row r="41">
          <cell r="A41">
            <v>7000</v>
          </cell>
          <cell r="B41">
            <v>230</v>
          </cell>
          <cell r="C41" t="str">
            <v>T1-Panama</v>
          </cell>
          <cell r="D41" t="str">
            <v>T1-PAN</v>
          </cell>
          <cell r="E41">
            <v>7</v>
          </cell>
        </row>
        <row r="42">
          <cell r="A42">
            <v>7001</v>
          </cell>
          <cell r="C42" t="str">
            <v>T2-Panama</v>
          </cell>
          <cell r="D42" t="str">
            <v>T2-PAN</v>
          </cell>
          <cell r="E42">
            <v>7</v>
          </cell>
        </row>
        <row r="43">
          <cell r="A43">
            <v>7002</v>
          </cell>
          <cell r="C43" t="str">
            <v>T3-Panama</v>
          </cell>
          <cell r="D43" t="str">
            <v>T3-PAN</v>
          </cell>
          <cell r="E43">
            <v>7</v>
          </cell>
        </row>
        <row r="44">
          <cell r="A44">
            <v>7003</v>
          </cell>
          <cell r="C44" t="str">
            <v>T5-Panama</v>
          </cell>
          <cell r="D44" t="str">
            <v>T5-PAN</v>
          </cell>
          <cell r="E44">
            <v>7</v>
          </cell>
        </row>
        <row r="45">
          <cell r="A45">
            <v>7004</v>
          </cell>
          <cell r="C45" t="str">
            <v>T1-PanamaII</v>
          </cell>
          <cell r="D45" t="str">
            <v>T1-PANII</v>
          </cell>
          <cell r="E45">
            <v>7</v>
          </cell>
        </row>
        <row r="46">
          <cell r="A46">
            <v>7005</v>
          </cell>
          <cell r="C46" t="str">
            <v>T2-PanamaII</v>
          </cell>
          <cell r="D46" t="str">
            <v>T2-PANII</v>
          </cell>
          <cell r="E46">
            <v>7</v>
          </cell>
        </row>
        <row r="47">
          <cell r="A47">
            <v>7006</v>
          </cell>
          <cell r="C47" t="str">
            <v>T3-PanamaII</v>
          </cell>
          <cell r="D47" t="str">
            <v>T3-PANII</v>
          </cell>
          <cell r="E47">
            <v>7</v>
          </cell>
        </row>
        <row r="48">
          <cell r="A48">
            <v>7007</v>
          </cell>
          <cell r="C48" t="str">
            <v>T1-Chorrera</v>
          </cell>
          <cell r="D48" t="str">
            <v>T1-CHO</v>
          </cell>
          <cell r="E48">
            <v>6</v>
          </cell>
        </row>
        <row r="49">
          <cell r="A49">
            <v>7008</v>
          </cell>
          <cell r="C49" t="str">
            <v>T2-Chorrera</v>
          </cell>
          <cell r="D49" t="str">
            <v>T2-CHO</v>
          </cell>
          <cell r="E49">
            <v>6</v>
          </cell>
        </row>
        <row r="50">
          <cell r="A50">
            <v>7009</v>
          </cell>
          <cell r="C50" t="str">
            <v>T3-Chorrera</v>
          </cell>
          <cell r="D50" t="str">
            <v>T3-CHO</v>
          </cell>
          <cell r="E50">
            <v>6</v>
          </cell>
        </row>
        <row r="51">
          <cell r="A51">
            <v>7010</v>
          </cell>
          <cell r="C51" t="str">
            <v>T1-Llano Sanchez</v>
          </cell>
          <cell r="D51" t="str">
            <v>T1-LSA</v>
          </cell>
          <cell r="E51">
            <v>5</v>
          </cell>
        </row>
        <row r="52">
          <cell r="A52">
            <v>7011</v>
          </cell>
          <cell r="C52" t="str">
            <v>T2-Llano Sanchez</v>
          </cell>
          <cell r="D52" t="str">
            <v>T2-LSA</v>
          </cell>
          <cell r="E52">
            <v>5</v>
          </cell>
        </row>
        <row r="53">
          <cell r="A53">
            <v>7012</v>
          </cell>
          <cell r="C53" t="str">
            <v>T3-Llano Sanchez</v>
          </cell>
          <cell r="D53" t="str">
            <v>T3-LSA</v>
          </cell>
          <cell r="E53">
            <v>5</v>
          </cell>
        </row>
        <row r="54">
          <cell r="A54">
            <v>7013</v>
          </cell>
          <cell r="C54" t="str">
            <v>T1-Mata de Nance</v>
          </cell>
          <cell r="D54" t="str">
            <v>T1-MDN</v>
          </cell>
          <cell r="E54">
            <v>4</v>
          </cell>
        </row>
        <row r="55">
          <cell r="A55">
            <v>7014</v>
          </cell>
          <cell r="C55" t="str">
            <v>T2-Mata de Nance</v>
          </cell>
          <cell r="D55" t="str">
            <v>T2-MDN</v>
          </cell>
          <cell r="E55">
            <v>4</v>
          </cell>
        </row>
        <row r="56">
          <cell r="A56">
            <v>7015</v>
          </cell>
          <cell r="C56" t="str">
            <v>T3-Mata de Nance</v>
          </cell>
          <cell r="D56" t="str">
            <v>T3-MDN</v>
          </cell>
          <cell r="E56">
            <v>5</v>
          </cell>
        </row>
        <row r="57">
          <cell r="A57">
            <v>7016</v>
          </cell>
          <cell r="C57" t="str">
            <v>T1-Changuinola</v>
          </cell>
          <cell r="D57" t="str">
            <v>T1-CHA</v>
          </cell>
          <cell r="E57">
            <v>10</v>
          </cell>
        </row>
        <row r="58">
          <cell r="A58">
            <v>7016</v>
          </cell>
          <cell r="C58" t="str">
            <v>T1-Changuinola</v>
          </cell>
          <cell r="D58" t="str">
            <v>T1-CHA</v>
          </cell>
          <cell r="E58">
            <v>10</v>
          </cell>
        </row>
      </sheetData>
      <sheetData sheetId="2">
        <row r="2">
          <cell r="A2">
            <v>6001</v>
          </cell>
        </row>
      </sheetData>
      <sheetData sheetId="3"/>
      <sheetData sheetId="4"/>
      <sheetData sheetId="5" refreshError="1"/>
      <sheetData sheetId="6"/>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21"/>
      <sheetName val="ago21"/>
      <sheetName val="sep21"/>
      <sheetName val="oct21"/>
      <sheetName val="nov21"/>
      <sheetName val="dic21"/>
      <sheetName val="ene22"/>
      <sheetName val="feb22"/>
      <sheetName val="mar22"/>
      <sheetName val="abr22"/>
      <sheetName val="may22"/>
      <sheetName val="jun22"/>
      <sheetName val="Resumen"/>
      <sheetName val="Resumen Modelo"/>
      <sheetName val="Grandes C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9">
          <cell r="G9">
            <v>14.47</v>
          </cell>
          <cell r="H9">
            <v>16.75</v>
          </cell>
          <cell r="I9">
            <v>17.5</v>
          </cell>
          <cell r="J9">
            <v>15.41</v>
          </cell>
          <cell r="K9">
            <v>14.94</v>
          </cell>
          <cell r="L9">
            <v>22.37</v>
          </cell>
          <cell r="M9">
            <v>16.68</v>
          </cell>
          <cell r="N9">
            <v>16.38</v>
          </cell>
          <cell r="O9">
            <v>18.62</v>
          </cell>
          <cell r="P9">
            <v>16.329999999999998</v>
          </cell>
          <cell r="Q9">
            <v>15.68</v>
          </cell>
          <cell r="R9">
            <v>14.3</v>
          </cell>
        </row>
        <row r="10">
          <cell r="G10">
            <v>0.54</v>
          </cell>
          <cell r="H10">
            <v>0.95</v>
          </cell>
          <cell r="I10">
            <v>0.88</v>
          </cell>
          <cell r="J10">
            <v>1</v>
          </cell>
          <cell r="K10">
            <v>0.92</v>
          </cell>
          <cell r="L10">
            <v>0.62</v>
          </cell>
          <cell r="M10">
            <v>0.68</v>
          </cell>
          <cell r="N10">
            <v>0.84</v>
          </cell>
          <cell r="O10">
            <v>0.86</v>
          </cell>
          <cell r="P10">
            <v>0.59</v>
          </cell>
          <cell r="Q10">
            <v>0.63</v>
          </cell>
          <cell r="R10">
            <v>0.6</v>
          </cell>
        </row>
        <row r="11">
          <cell r="G11"/>
          <cell r="H11"/>
          <cell r="I11"/>
          <cell r="J11"/>
          <cell r="K11"/>
          <cell r="L11"/>
          <cell r="M11"/>
          <cell r="N11"/>
          <cell r="O11"/>
          <cell r="P11"/>
          <cell r="Q11"/>
          <cell r="R11"/>
        </row>
        <row r="12">
          <cell r="G12">
            <v>0</v>
          </cell>
          <cell r="H12">
            <v>0</v>
          </cell>
          <cell r="I12">
            <v>0</v>
          </cell>
          <cell r="J12">
            <v>0</v>
          </cell>
          <cell r="K12">
            <v>0</v>
          </cell>
          <cell r="L12">
            <v>0</v>
          </cell>
          <cell r="M12">
            <v>0</v>
          </cell>
          <cell r="N12">
            <v>0</v>
          </cell>
          <cell r="O12">
            <v>0</v>
          </cell>
          <cell r="P12">
            <v>0</v>
          </cell>
          <cell r="Q12">
            <v>0</v>
          </cell>
          <cell r="R12">
            <v>0</v>
          </cell>
        </row>
        <row r="13">
          <cell r="G13"/>
          <cell r="H13"/>
          <cell r="I13"/>
          <cell r="J13"/>
          <cell r="K13"/>
          <cell r="L13"/>
          <cell r="M13"/>
          <cell r="N13"/>
          <cell r="O13"/>
          <cell r="P13"/>
          <cell r="Q13"/>
          <cell r="R13"/>
        </row>
        <row r="14">
          <cell r="H14">
            <v>0.1</v>
          </cell>
          <cell r="I14">
            <v>0.09</v>
          </cell>
          <cell r="J14">
            <v>0.1</v>
          </cell>
          <cell r="K14">
            <v>0.06</v>
          </cell>
          <cell r="L14">
            <v>0.06</v>
          </cell>
          <cell r="M14">
            <v>0.09</v>
          </cell>
          <cell r="N14">
            <v>0.1</v>
          </cell>
          <cell r="O14">
            <v>0.06</v>
          </cell>
          <cell r="P14">
            <v>0.1</v>
          </cell>
          <cell r="Q14">
            <v>0.09</v>
          </cell>
          <cell r="R14">
            <v>0.09</v>
          </cell>
        </row>
        <row r="15">
          <cell r="G15"/>
          <cell r="H15"/>
          <cell r="I15"/>
          <cell r="J15"/>
          <cell r="K15"/>
          <cell r="L15"/>
          <cell r="M15"/>
          <cell r="N15"/>
          <cell r="O15"/>
          <cell r="P15"/>
          <cell r="Q15"/>
          <cell r="R15"/>
        </row>
        <row r="16">
          <cell r="G16">
            <v>0.06</v>
          </cell>
          <cell r="H16">
            <v>0.1</v>
          </cell>
          <cell r="I16">
            <v>0.09</v>
          </cell>
          <cell r="J16">
            <v>0.1</v>
          </cell>
          <cell r="K16">
            <v>0.06</v>
          </cell>
          <cell r="L16">
            <v>0.06</v>
          </cell>
          <cell r="M16">
            <v>0.09</v>
          </cell>
          <cell r="N16">
            <v>0.1</v>
          </cell>
          <cell r="O16">
            <v>0.06</v>
          </cell>
          <cell r="P16">
            <v>0.1</v>
          </cell>
          <cell r="Q16">
            <v>0.09</v>
          </cell>
          <cell r="R16">
            <v>0.09</v>
          </cell>
        </row>
        <row r="17">
          <cell r="G17"/>
          <cell r="H17"/>
          <cell r="I17"/>
          <cell r="J17"/>
          <cell r="K17"/>
          <cell r="L17"/>
          <cell r="M17"/>
          <cell r="N17"/>
          <cell r="O17"/>
          <cell r="P17"/>
          <cell r="Q17"/>
          <cell r="R17"/>
        </row>
        <row r="18">
          <cell r="H18">
            <v>115.74</v>
          </cell>
          <cell r="I18">
            <v>111.65</v>
          </cell>
          <cell r="J18">
            <v>114.88</v>
          </cell>
          <cell r="K18">
            <v>112.52</v>
          </cell>
          <cell r="L18">
            <v>107.92</v>
          </cell>
          <cell r="M18">
            <v>101.83</v>
          </cell>
          <cell r="N18">
            <v>103.17</v>
          </cell>
          <cell r="O18">
            <v>122.86</v>
          </cell>
          <cell r="P18">
            <v>121.6</v>
          </cell>
          <cell r="Q18">
            <v>112.16</v>
          </cell>
          <cell r="R18">
            <v>103.78</v>
          </cell>
        </row>
        <row r="19">
          <cell r="G19"/>
          <cell r="H19"/>
          <cell r="I19"/>
          <cell r="J19"/>
          <cell r="K19"/>
          <cell r="L19"/>
          <cell r="M19"/>
          <cell r="N19"/>
          <cell r="O19"/>
          <cell r="P19"/>
          <cell r="Q19"/>
          <cell r="R19"/>
        </row>
        <row r="20">
          <cell r="G20">
            <v>0</v>
          </cell>
          <cell r="H20">
            <v>0</v>
          </cell>
          <cell r="I20">
            <v>0</v>
          </cell>
          <cell r="J20">
            <v>0</v>
          </cell>
          <cell r="K20">
            <v>0</v>
          </cell>
          <cell r="L20">
            <v>0</v>
          </cell>
          <cell r="M20">
            <v>0</v>
          </cell>
          <cell r="N20">
            <v>0</v>
          </cell>
          <cell r="O20">
            <v>0</v>
          </cell>
          <cell r="P20">
            <v>0</v>
          </cell>
          <cell r="Q20">
            <v>0</v>
          </cell>
          <cell r="R20">
            <v>0</v>
          </cell>
        </row>
        <row r="21">
          <cell r="G21">
            <v>106.53</v>
          </cell>
          <cell r="H21">
            <v>115.74</v>
          </cell>
          <cell r="I21">
            <v>111.65</v>
          </cell>
          <cell r="J21">
            <v>114.88</v>
          </cell>
          <cell r="K21">
            <v>112.52</v>
          </cell>
          <cell r="L21">
            <v>107.92</v>
          </cell>
          <cell r="M21">
            <v>101.83</v>
          </cell>
          <cell r="N21">
            <v>103.17</v>
          </cell>
          <cell r="O21">
            <v>122.86</v>
          </cell>
          <cell r="P21">
            <v>121.6</v>
          </cell>
          <cell r="Q21">
            <v>112.16</v>
          </cell>
          <cell r="R21">
            <v>103.78</v>
          </cell>
        </row>
        <row r="22">
          <cell r="G22"/>
          <cell r="H22"/>
          <cell r="I22"/>
          <cell r="J22"/>
          <cell r="K22"/>
          <cell r="L22"/>
          <cell r="M22"/>
          <cell r="N22"/>
          <cell r="O22"/>
          <cell r="P22"/>
          <cell r="Q22"/>
          <cell r="R22"/>
        </row>
        <row r="23">
          <cell r="H23">
            <v>417.63</v>
          </cell>
          <cell r="I23">
            <v>368.07</v>
          </cell>
          <cell r="J23">
            <v>313.58000000000004</v>
          </cell>
          <cell r="K23">
            <v>431.88</v>
          </cell>
          <cell r="L23">
            <v>562.75</v>
          </cell>
          <cell r="M23">
            <v>444.62</v>
          </cell>
          <cell r="N23">
            <v>445.64</v>
          </cell>
          <cell r="O23">
            <v>506.90999999999997</v>
          </cell>
          <cell r="P23">
            <v>466.95</v>
          </cell>
          <cell r="Q23">
            <v>360.34</v>
          </cell>
          <cell r="R23">
            <v>383.80999999999995</v>
          </cell>
        </row>
        <row r="24">
          <cell r="G24"/>
          <cell r="H24"/>
          <cell r="I24"/>
          <cell r="J24"/>
          <cell r="K24"/>
          <cell r="L24"/>
          <cell r="M24"/>
          <cell r="N24"/>
          <cell r="O24"/>
          <cell r="P24"/>
          <cell r="Q24"/>
          <cell r="R24"/>
        </row>
        <row r="25">
          <cell r="G25">
            <v>254.52</v>
          </cell>
          <cell r="H25">
            <v>251.24</v>
          </cell>
          <cell r="I25">
            <v>208.62</v>
          </cell>
          <cell r="J25">
            <v>238.6</v>
          </cell>
          <cell r="K25">
            <v>260.77</v>
          </cell>
          <cell r="L25">
            <v>289.83</v>
          </cell>
          <cell r="M25">
            <v>261.27999999999997</v>
          </cell>
          <cell r="N25">
            <v>269.32</v>
          </cell>
          <cell r="O25">
            <v>275.69</v>
          </cell>
          <cell r="P25">
            <v>293.06</v>
          </cell>
          <cell r="Q25">
            <v>267.05</v>
          </cell>
          <cell r="R25">
            <v>247.46</v>
          </cell>
        </row>
        <row r="26">
          <cell r="G26"/>
          <cell r="H26"/>
          <cell r="I26"/>
          <cell r="J26"/>
          <cell r="K26"/>
          <cell r="L26"/>
          <cell r="M26"/>
          <cell r="N26"/>
          <cell r="O26"/>
          <cell r="P26"/>
          <cell r="Q26"/>
          <cell r="R26"/>
        </row>
        <row r="27">
          <cell r="G27">
            <v>0.82000000000000006</v>
          </cell>
          <cell r="H27">
            <v>0.8</v>
          </cell>
          <cell r="I27">
            <v>0.76</v>
          </cell>
          <cell r="J27">
            <v>0.74</v>
          </cell>
          <cell r="K27">
            <v>0.8</v>
          </cell>
          <cell r="L27">
            <v>0.83000000000000007</v>
          </cell>
          <cell r="M27">
            <v>0.79</v>
          </cell>
          <cell r="N27">
            <v>0.8</v>
          </cell>
          <cell r="O27">
            <v>0.81</v>
          </cell>
          <cell r="P27">
            <v>0.83000000000000007</v>
          </cell>
          <cell r="Q27">
            <v>0.76</v>
          </cell>
          <cell r="R27">
            <v>0.7</v>
          </cell>
        </row>
        <row r="28">
          <cell r="G28">
            <v>0</v>
          </cell>
          <cell r="H28">
            <v>0</v>
          </cell>
          <cell r="I28">
            <v>0</v>
          </cell>
          <cell r="J28">
            <v>0</v>
          </cell>
          <cell r="K28">
            <v>0</v>
          </cell>
          <cell r="L28">
            <v>0</v>
          </cell>
          <cell r="M28">
            <v>0</v>
          </cell>
          <cell r="N28">
            <v>0</v>
          </cell>
          <cell r="O28">
            <v>0</v>
          </cell>
          <cell r="P28">
            <v>0</v>
          </cell>
          <cell r="Q28">
            <v>0</v>
          </cell>
          <cell r="R28">
            <v>0</v>
          </cell>
        </row>
        <row r="29">
          <cell r="G29">
            <v>0.74</v>
          </cell>
          <cell r="H29">
            <v>0.74</v>
          </cell>
          <cell r="I29">
            <v>0.69</v>
          </cell>
          <cell r="J29">
            <v>0.68</v>
          </cell>
          <cell r="K29">
            <v>0.66</v>
          </cell>
          <cell r="L29">
            <v>0.79</v>
          </cell>
          <cell r="M29">
            <v>0.78</v>
          </cell>
          <cell r="N29">
            <v>0.78</v>
          </cell>
          <cell r="O29">
            <v>0.77</v>
          </cell>
          <cell r="P29">
            <v>1.37</v>
          </cell>
          <cell r="Q29">
            <v>0.71</v>
          </cell>
          <cell r="R29">
            <v>0.76</v>
          </cell>
        </row>
        <row r="30">
          <cell r="G30"/>
          <cell r="H30"/>
          <cell r="I30"/>
          <cell r="J30"/>
          <cell r="K30"/>
          <cell r="L30"/>
          <cell r="M30"/>
          <cell r="N30"/>
          <cell r="O30"/>
          <cell r="P30"/>
          <cell r="Q30"/>
          <cell r="R30"/>
        </row>
        <row r="31">
          <cell r="G31">
            <v>187.22</v>
          </cell>
          <cell r="H31">
            <v>164.85</v>
          </cell>
          <cell r="I31">
            <v>158</v>
          </cell>
          <cell r="J31">
            <v>73.56</v>
          </cell>
          <cell r="K31">
            <v>169.65</v>
          </cell>
          <cell r="L31">
            <v>271.3</v>
          </cell>
          <cell r="M31">
            <v>181.77</v>
          </cell>
          <cell r="N31">
            <v>174.74</v>
          </cell>
          <cell r="O31">
            <v>229.64</v>
          </cell>
          <cell r="P31">
            <v>171.69</v>
          </cell>
          <cell r="Q31">
            <v>91.82</v>
          </cell>
          <cell r="R31">
            <v>134.88999999999999</v>
          </cell>
        </row>
        <row r="32">
          <cell r="G32"/>
          <cell r="H32"/>
          <cell r="I32"/>
          <cell r="J32"/>
          <cell r="K32"/>
          <cell r="L32"/>
          <cell r="M32"/>
          <cell r="N32"/>
          <cell r="O32"/>
          <cell r="P32"/>
          <cell r="Q32"/>
          <cell r="R32"/>
        </row>
        <row r="33">
          <cell r="G33">
            <v>169.91</v>
          </cell>
          <cell r="H33">
            <v>171.82</v>
          </cell>
          <cell r="I33">
            <v>168.95999999999998</v>
          </cell>
          <cell r="J33">
            <v>164.78</v>
          </cell>
          <cell r="K33">
            <v>163.92999999999998</v>
          </cell>
          <cell r="L33">
            <v>172.06</v>
          </cell>
          <cell r="M33">
            <v>158.99</v>
          </cell>
          <cell r="N33">
            <v>166.59</v>
          </cell>
          <cell r="O33">
            <v>165.61</v>
          </cell>
          <cell r="P33">
            <v>174.70999999999998</v>
          </cell>
          <cell r="Q33">
            <v>183.22000000000003</v>
          </cell>
          <cell r="R33">
            <v>166.1</v>
          </cell>
        </row>
        <row r="34">
          <cell r="G34"/>
          <cell r="H34"/>
          <cell r="I34"/>
          <cell r="J34"/>
          <cell r="K34"/>
          <cell r="L34"/>
          <cell r="M34"/>
          <cell r="N34"/>
          <cell r="O34"/>
          <cell r="P34"/>
          <cell r="Q34"/>
          <cell r="R34"/>
        </row>
        <row r="35">
          <cell r="G35">
            <v>167.57</v>
          </cell>
          <cell r="H35">
            <v>169.48</v>
          </cell>
          <cell r="I35">
            <v>166.6</v>
          </cell>
          <cell r="J35">
            <v>162.41999999999999</v>
          </cell>
          <cell r="K35">
            <v>161.57</v>
          </cell>
          <cell r="L35">
            <v>169.74</v>
          </cell>
          <cell r="M35">
            <v>156.68</v>
          </cell>
          <cell r="N35">
            <v>164.28</v>
          </cell>
          <cell r="O35">
            <v>163.30000000000001</v>
          </cell>
          <cell r="P35">
            <v>172.39</v>
          </cell>
          <cell r="Q35">
            <v>180.9</v>
          </cell>
          <cell r="R35">
            <v>163.80000000000001</v>
          </cell>
        </row>
        <row r="36">
          <cell r="G36"/>
          <cell r="H36"/>
          <cell r="I36"/>
          <cell r="J36"/>
          <cell r="K36"/>
          <cell r="L36"/>
          <cell r="M36"/>
          <cell r="N36"/>
          <cell r="O36"/>
          <cell r="P36"/>
          <cell r="Q36"/>
          <cell r="R36"/>
        </row>
        <row r="37">
          <cell r="G37">
            <v>0.23</v>
          </cell>
          <cell r="H37">
            <v>0.22</v>
          </cell>
          <cell r="I37">
            <v>0.23</v>
          </cell>
          <cell r="J37">
            <v>0.24</v>
          </cell>
          <cell r="K37">
            <v>0.23</v>
          </cell>
          <cell r="L37">
            <v>0.22</v>
          </cell>
          <cell r="M37">
            <v>0.21</v>
          </cell>
          <cell r="N37">
            <v>0.21</v>
          </cell>
          <cell r="O37">
            <v>0.22</v>
          </cell>
          <cell r="P37">
            <v>0.22</v>
          </cell>
          <cell r="Q37">
            <v>0.24</v>
          </cell>
          <cell r="R37">
            <v>0.23</v>
          </cell>
        </row>
        <row r="38">
          <cell r="G38">
            <v>2.11</v>
          </cell>
          <cell r="H38">
            <v>2.12</v>
          </cell>
          <cell r="I38">
            <v>2.13</v>
          </cell>
          <cell r="J38">
            <v>2.12</v>
          </cell>
          <cell r="K38">
            <v>2.13</v>
          </cell>
          <cell r="L38">
            <v>2.1</v>
          </cell>
          <cell r="M38">
            <v>2.1</v>
          </cell>
          <cell r="N38">
            <v>2.1</v>
          </cell>
          <cell r="O38">
            <v>2.09</v>
          </cell>
          <cell r="P38">
            <v>2.1</v>
          </cell>
          <cell r="Q38">
            <v>2.08</v>
          </cell>
          <cell r="R38">
            <v>2.0699999999999998</v>
          </cell>
        </row>
        <row r="39">
          <cell r="G39"/>
          <cell r="H39"/>
          <cell r="I39"/>
          <cell r="J39"/>
          <cell r="K39"/>
          <cell r="L39"/>
          <cell r="M39"/>
          <cell r="N39"/>
          <cell r="O39"/>
          <cell r="P39"/>
          <cell r="Q39"/>
          <cell r="R39"/>
        </row>
        <row r="40">
          <cell r="H40">
            <v>959.91906199999983</v>
          </cell>
          <cell r="I40">
            <v>994.09</v>
          </cell>
          <cell r="J40">
            <v>959.99000000000012</v>
          </cell>
          <cell r="K40">
            <v>945.60316999999986</v>
          </cell>
          <cell r="L40">
            <v>983.06346300000007</v>
          </cell>
          <cell r="M40">
            <v>936.54365600000006</v>
          </cell>
          <cell r="N40">
            <v>988.36840299999994</v>
          </cell>
          <cell r="O40">
            <v>990.61628500000006</v>
          </cell>
          <cell r="P40">
            <v>1014.5791169999999</v>
          </cell>
          <cell r="Q40">
            <v>1006.6427959999999</v>
          </cell>
          <cell r="R40">
            <v>971.30811699999992</v>
          </cell>
        </row>
        <row r="41">
          <cell r="G41"/>
          <cell r="H41"/>
          <cell r="I41"/>
          <cell r="J41"/>
          <cell r="K41"/>
          <cell r="L41"/>
          <cell r="M41"/>
          <cell r="N41"/>
          <cell r="O41"/>
          <cell r="P41"/>
          <cell r="Q41"/>
          <cell r="R41"/>
        </row>
        <row r="42">
          <cell r="G42">
            <v>156.68</v>
          </cell>
          <cell r="H42">
            <v>197.59</v>
          </cell>
          <cell r="I42">
            <v>220.1</v>
          </cell>
          <cell r="J42">
            <v>214.22</v>
          </cell>
          <cell r="K42">
            <v>201.61</v>
          </cell>
          <cell r="L42">
            <v>206.85</v>
          </cell>
          <cell r="M42">
            <v>196.97</v>
          </cell>
          <cell r="N42">
            <v>234.46</v>
          </cell>
          <cell r="O42">
            <v>201.8</v>
          </cell>
          <cell r="P42">
            <v>204.83</v>
          </cell>
          <cell r="Q42">
            <v>206.8</v>
          </cell>
          <cell r="R42">
            <v>192.96</v>
          </cell>
        </row>
        <row r="43">
          <cell r="G43">
            <v>225.18</v>
          </cell>
          <cell r="H43">
            <v>270.56</v>
          </cell>
          <cell r="I43">
            <v>269.77</v>
          </cell>
          <cell r="J43">
            <v>259.47000000000003</v>
          </cell>
          <cell r="K43">
            <v>262.16000000000003</v>
          </cell>
          <cell r="L43">
            <v>275.49</v>
          </cell>
          <cell r="M43">
            <v>267.87</v>
          </cell>
          <cell r="N43">
            <v>270.51</v>
          </cell>
          <cell r="O43">
            <v>284.16000000000003</v>
          </cell>
          <cell r="P43">
            <v>308.05</v>
          </cell>
          <cell r="Q43">
            <v>289.77999999999997</v>
          </cell>
          <cell r="R43">
            <v>295.33</v>
          </cell>
        </row>
        <row r="44">
          <cell r="G44">
            <v>63.008277</v>
          </cell>
          <cell r="H44">
            <v>57.199061999999998</v>
          </cell>
          <cell r="I44">
            <v>67.400000000000006</v>
          </cell>
          <cell r="J44">
            <v>51.13</v>
          </cell>
          <cell r="K44">
            <v>55.45317</v>
          </cell>
          <cell r="L44">
            <v>51.683463000000003</v>
          </cell>
          <cell r="M44">
            <v>52.453655999999995</v>
          </cell>
          <cell r="N44">
            <v>53.318403000000004</v>
          </cell>
          <cell r="O44">
            <v>63.226284999999997</v>
          </cell>
          <cell r="P44">
            <v>55.339117000000002</v>
          </cell>
          <cell r="Q44">
            <v>54.922795999999998</v>
          </cell>
          <cell r="R44">
            <v>53.088116999999997</v>
          </cell>
        </row>
        <row r="45">
          <cell r="G45"/>
          <cell r="H45"/>
          <cell r="I45"/>
          <cell r="J45"/>
          <cell r="K45"/>
          <cell r="L45"/>
          <cell r="M45"/>
          <cell r="N45"/>
          <cell r="O45"/>
          <cell r="P45"/>
          <cell r="Q45"/>
          <cell r="R45"/>
        </row>
        <row r="46">
          <cell r="G46"/>
          <cell r="H46"/>
          <cell r="I46"/>
          <cell r="J46"/>
          <cell r="K46"/>
          <cell r="L46"/>
          <cell r="M46"/>
          <cell r="N46"/>
          <cell r="O46"/>
          <cell r="P46"/>
          <cell r="Q46"/>
          <cell r="R46"/>
        </row>
        <row r="47">
          <cell r="G47">
            <v>411.89</v>
          </cell>
          <cell r="H47">
            <v>409.8</v>
          </cell>
          <cell r="I47">
            <v>411.8</v>
          </cell>
          <cell r="J47">
            <v>410.14</v>
          </cell>
          <cell r="K47">
            <v>401.64</v>
          </cell>
          <cell r="L47">
            <v>411.4</v>
          </cell>
          <cell r="M47">
            <v>398.15</v>
          </cell>
          <cell r="N47">
            <v>409.06</v>
          </cell>
          <cell r="O47">
            <v>418.17</v>
          </cell>
          <cell r="P47">
            <v>424.91</v>
          </cell>
          <cell r="Q47">
            <v>433.52</v>
          </cell>
          <cell r="R47">
            <v>408.09</v>
          </cell>
        </row>
        <row r="48">
          <cell r="G48"/>
          <cell r="H48"/>
          <cell r="I48"/>
          <cell r="J48"/>
          <cell r="K48"/>
          <cell r="L48"/>
          <cell r="M48"/>
          <cell r="N48"/>
          <cell r="O48"/>
          <cell r="P48"/>
          <cell r="Q48"/>
          <cell r="R48"/>
        </row>
        <row r="49">
          <cell r="G49">
            <v>18.649999999999999</v>
          </cell>
          <cell r="H49">
            <v>15.14</v>
          </cell>
          <cell r="I49">
            <v>15.31</v>
          </cell>
          <cell r="J49">
            <v>15.36</v>
          </cell>
          <cell r="K49">
            <v>15.05</v>
          </cell>
          <cell r="L49">
            <v>27.89</v>
          </cell>
          <cell r="M49">
            <v>14.23</v>
          </cell>
          <cell r="N49">
            <v>14.11</v>
          </cell>
          <cell r="O49">
            <v>16.34</v>
          </cell>
          <cell r="P49">
            <v>14.51</v>
          </cell>
          <cell r="Q49">
            <v>14.52</v>
          </cell>
          <cell r="R49">
            <v>14.93</v>
          </cell>
        </row>
        <row r="50">
          <cell r="G50">
            <v>0.76</v>
          </cell>
          <cell r="H50">
            <v>0.76</v>
          </cell>
          <cell r="I50">
            <v>0.74</v>
          </cell>
          <cell r="J50">
            <v>0.75</v>
          </cell>
          <cell r="K50">
            <v>0.73</v>
          </cell>
          <cell r="L50">
            <v>0.74</v>
          </cell>
          <cell r="M50">
            <v>0.74</v>
          </cell>
          <cell r="N50">
            <v>0.74</v>
          </cell>
          <cell r="O50">
            <v>0.75</v>
          </cell>
          <cell r="P50">
            <v>0.76</v>
          </cell>
          <cell r="Q50">
            <v>0.81</v>
          </cell>
          <cell r="R50">
            <v>0.72</v>
          </cell>
        </row>
        <row r="51">
          <cell r="G51">
            <v>3.4299999999999997</v>
          </cell>
          <cell r="H51">
            <v>3.3100000000000005</v>
          </cell>
          <cell r="I51">
            <v>3.37</v>
          </cell>
          <cell r="J51">
            <v>3.3200000000000003</v>
          </cell>
          <cell r="K51">
            <v>3.2800000000000007</v>
          </cell>
          <cell r="L51">
            <v>3.38</v>
          </cell>
          <cell r="M51">
            <v>3.25</v>
          </cell>
          <cell r="N51">
            <v>3.2800000000000002</v>
          </cell>
          <cell r="O51">
            <v>3.27</v>
          </cell>
          <cell r="P51">
            <v>3.3100000000000005</v>
          </cell>
          <cell r="Q51">
            <v>3.2900000000000005</v>
          </cell>
          <cell r="R51">
            <v>3.2300000000000004</v>
          </cell>
        </row>
        <row r="52">
          <cell r="G52">
            <v>1.2</v>
          </cell>
          <cell r="H52">
            <v>1.1599999999999999</v>
          </cell>
          <cell r="I52">
            <v>1.19</v>
          </cell>
          <cell r="J52">
            <v>1.18</v>
          </cell>
          <cell r="K52">
            <v>1.17</v>
          </cell>
          <cell r="L52">
            <v>1.2</v>
          </cell>
          <cell r="M52">
            <v>1.2</v>
          </cell>
          <cell r="N52">
            <v>1.22</v>
          </cell>
          <cell r="O52">
            <v>1.22</v>
          </cell>
          <cell r="P52">
            <v>1.22</v>
          </cell>
          <cell r="Q52">
            <v>1.25</v>
          </cell>
          <cell r="R52">
            <v>1.24</v>
          </cell>
        </row>
        <row r="53">
          <cell r="G53">
            <v>0.15</v>
          </cell>
          <cell r="H53">
            <v>0.15</v>
          </cell>
          <cell r="I53">
            <v>0.15</v>
          </cell>
          <cell r="J53">
            <v>0.15</v>
          </cell>
          <cell r="K53">
            <v>0.17</v>
          </cell>
          <cell r="L53">
            <v>0.16</v>
          </cell>
          <cell r="M53">
            <v>0.16</v>
          </cell>
          <cell r="N53">
            <v>0.17</v>
          </cell>
          <cell r="O53">
            <v>0.16</v>
          </cell>
          <cell r="P53">
            <v>0.16</v>
          </cell>
          <cell r="Q53">
            <v>0.16</v>
          </cell>
          <cell r="R53">
            <v>0.15</v>
          </cell>
        </row>
        <row r="54">
          <cell r="G54">
            <v>1.18</v>
          </cell>
          <cell r="H54">
            <v>1.1599999999999999</v>
          </cell>
          <cell r="I54">
            <v>1.2</v>
          </cell>
          <cell r="J54">
            <v>1.2</v>
          </cell>
          <cell r="K54">
            <v>1.29</v>
          </cell>
          <cell r="L54">
            <v>1.21</v>
          </cell>
          <cell r="M54">
            <v>1.17</v>
          </cell>
          <cell r="N54">
            <v>1.18</v>
          </cell>
          <cell r="O54">
            <v>1.1599999999999999</v>
          </cell>
          <cell r="P54">
            <v>1.1599999999999999</v>
          </cell>
          <cell r="Q54">
            <v>1.25</v>
          </cell>
          <cell r="R54">
            <v>1.2</v>
          </cell>
        </row>
        <row r="55">
          <cell r="G55">
            <v>2.79</v>
          </cell>
          <cell r="H55">
            <v>2.75</v>
          </cell>
          <cell r="I55">
            <v>2.71</v>
          </cell>
          <cell r="J55">
            <v>2.71</v>
          </cell>
          <cell r="K55">
            <v>2.71</v>
          </cell>
          <cell r="L55">
            <v>2.72</v>
          </cell>
          <cell r="M55">
            <v>0</v>
          </cell>
          <cell r="N55">
            <v>0</v>
          </cell>
          <cell r="O55">
            <v>0</v>
          </cell>
          <cell r="P55">
            <v>0</v>
          </cell>
          <cell r="Q55">
            <v>0</v>
          </cell>
          <cell r="R55">
            <v>0</v>
          </cell>
        </row>
        <row r="56">
          <cell r="G56">
            <v>0.33</v>
          </cell>
          <cell r="H56">
            <v>0.34</v>
          </cell>
          <cell r="I56">
            <v>0.35</v>
          </cell>
          <cell r="J56">
            <v>0.36</v>
          </cell>
          <cell r="K56">
            <v>0.34</v>
          </cell>
          <cell r="L56">
            <v>0.34</v>
          </cell>
          <cell r="M56">
            <v>0.35</v>
          </cell>
          <cell r="N56">
            <v>0.32</v>
          </cell>
          <cell r="O56">
            <v>0.36</v>
          </cell>
          <cell r="P56">
            <v>0.33</v>
          </cell>
          <cell r="Q56">
            <v>0.34</v>
          </cell>
          <cell r="R56">
            <v>0.37</v>
          </cell>
        </row>
        <row r="57">
          <cell r="G57"/>
          <cell r="H57"/>
          <cell r="I57"/>
          <cell r="J57"/>
          <cell r="K57"/>
          <cell r="L57"/>
          <cell r="M57"/>
          <cell r="N57"/>
          <cell r="O57"/>
          <cell r="P57"/>
          <cell r="Q57"/>
          <cell r="R57"/>
        </row>
        <row r="58">
          <cell r="G58">
            <v>2.3199999999999998</v>
          </cell>
          <cell r="H58">
            <v>1.36</v>
          </cell>
          <cell r="I58">
            <v>1.35</v>
          </cell>
          <cell r="J58">
            <v>1.74</v>
          </cell>
          <cell r="K58">
            <v>1.35</v>
          </cell>
          <cell r="L58">
            <v>1.35</v>
          </cell>
          <cell r="M58">
            <v>1.72</v>
          </cell>
          <cell r="N58">
            <v>2.0699999999999998</v>
          </cell>
          <cell r="O58">
            <v>1.32</v>
          </cell>
          <cell r="P58">
            <v>1.34</v>
          </cell>
          <cell r="Q58">
            <v>2.4</v>
          </cell>
          <cell r="R58">
            <v>1.37</v>
          </cell>
        </row>
        <row r="59">
          <cell r="G59"/>
          <cell r="H59"/>
          <cell r="I59"/>
          <cell r="J59"/>
          <cell r="K59"/>
          <cell r="L59"/>
          <cell r="M59"/>
          <cell r="N59"/>
          <cell r="O59"/>
          <cell r="P59"/>
          <cell r="Q59"/>
          <cell r="R59"/>
        </row>
        <row r="60">
          <cell r="G60">
            <v>2.3199999999999998</v>
          </cell>
          <cell r="H60">
            <v>1.36</v>
          </cell>
          <cell r="I60">
            <v>1.35</v>
          </cell>
          <cell r="J60">
            <v>1.74</v>
          </cell>
          <cell r="K60">
            <v>1.35</v>
          </cell>
          <cell r="L60">
            <v>1.35</v>
          </cell>
          <cell r="M60">
            <v>1.72</v>
          </cell>
          <cell r="N60">
            <v>2.0699999999999998</v>
          </cell>
          <cell r="O60">
            <v>1.32</v>
          </cell>
          <cell r="P60">
            <v>1.34</v>
          </cell>
          <cell r="Q60">
            <v>2.4</v>
          </cell>
          <cell r="R60">
            <v>1.37</v>
          </cell>
        </row>
        <row r="61">
          <cell r="G61"/>
          <cell r="H61"/>
          <cell r="I61"/>
          <cell r="J61"/>
          <cell r="K61"/>
          <cell r="L61"/>
          <cell r="M61"/>
          <cell r="N61"/>
          <cell r="O61"/>
          <cell r="P61"/>
          <cell r="Q61"/>
          <cell r="R61"/>
        </row>
        <row r="62">
          <cell r="G62">
            <v>112.58</v>
          </cell>
          <cell r="H62">
            <v>109.72</v>
          </cell>
          <cell r="I62">
            <v>109.72</v>
          </cell>
          <cell r="J62">
            <v>110.95</v>
          </cell>
          <cell r="K62">
            <v>108.10250000000001</v>
          </cell>
          <cell r="L62">
            <v>110.65</v>
          </cell>
          <cell r="M62">
            <v>108.22999999999999</v>
          </cell>
          <cell r="N62">
            <v>127.31</v>
          </cell>
          <cell r="O62">
            <v>112.34</v>
          </cell>
          <cell r="P62">
            <v>116.14</v>
          </cell>
          <cell r="Q62">
            <v>117.43</v>
          </cell>
          <cell r="R62">
            <v>111.28</v>
          </cell>
        </row>
        <row r="63">
          <cell r="G63"/>
          <cell r="H63"/>
          <cell r="I63"/>
          <cell r="J63"/>
          <cell r="K63"/>
          <cell r="L63"/>
          <cell r="M63"/>
          <cell r="N63"/>
          <cell r="O63"/>
          <cell r="P63"/>
          <cell r="Q63"/>
          <cell r="R63"/>
        </row>
        <row r="64">
          <cell r="G64">
            <v>105.24</v>
          </cell>
          <cell r="H64">
            <v>102.5</v>
          </cell>
          <cell r="I64">
            <v>102.27</v>
          </cell>
          <cell r="J64">
            <v>104.48</v>
          </cell>
          <cell r="K64">
            <v>103.6225</v>
          </cell>
          <cell r="L64">
            <v>103.58</v>
          </cell>
          <cell r="M64">
            <v>101.58</v>
          </cell>
          <cell r="N64">
            <v>122.29</v>
          </cell>
          <cell r="O64">
            <v>104.98</v>
          </cell>
          <cell r="P64">
            <v>108.85</v>
          </cell>
          <cell r="Q64">
            <v>110.17</v>
          </cell>
          <cell r="R64">
            <v>103.91</v>
          </cell>
        </row>
        <row r="65">
          <cell r="G65"/>
          <cell r="H65"/>
          <cell r="I65"/>
          <cell r="J65"/>
          <cell r="K65"/>
          <cell r="L65"/>
          <cell r="M65"/>
          <cell r="N65"/>
          <cell r="O65"/>
          <cell r="P65"/>
          <cell r="Q65"/>
          <cell r="R65"/>
        </row>
        <row r="66">
          <cell r="G66">
            <v>7.07</v>
          </cell>
          <cell r="H66">
            <v>6.94</v>
          </cell>
          <cell r="I66">
            <v>7.17</v>
          </cell>
          <cell r="J66">
            <v>6.18</v>
          </cell>
          <cell r="K66">
            <v>4.1900000000000004</v>
          </cell>
          <cell r="L66">
            <v>6.78</v>
          </cell>
          <cell r="M66">
            <v>6.38</v>
          </cell>
          <cell r="N66">
            <v>4.74</v>
          </cell>
          <cell r="O66">
            <v>7.08</v>
          </cell>
          <cell r="P66">
            <v>7.01</v>
          </cell>
          <cell r="Q66">
            <v>6.97</v>
          </cell>
          <cell r="R66">
            <v>7.08</v>
          </cell>
        </row>
        <row r="67">
          <cell r="G67">
            <v>0.27</v>
          </cell>
          <cell r="H67">
            <v>0.28000000000000003</v>
          </cell>
          <cell r="I67">
            <v>0.28000000000000003</v>
          </cell>
          <cell r="J67">
            <v>0.28999999999999998</v>
          </cell>
          <cell r="K67">
            <v>0.28999999999999998</v>
          </cell>
          <cell r="L67">
            <v>0.28999999999999998</v>
          </cell>
          <cell r="M67">
            <v>0.27</v>
          </cell>
          <cell r="N67">
            <v>0.28000000000000003</v>
          </cell>
          <cell r="O67">
            <v>0.28000000000000003</v>
          </cell>
          <cell r="P67">
            <v>0.28000000000000003</v>
          </cell>
          <cell r="Q67">
            <v>0.28999999999999998</v>
          </cell>
          <cell r="R67">
            <v>0.28999999999999998</v>
          </cell>
        </row>
        <row r="68">
          <cell r="G68">
            <v>0</v>
          </cell>
          <cell r="H68">
            <v>0</v>
          </cell>
          <cell r="I68">
            <v>0</v>
          </cell>
          <cell r="J68">
            <v>0</v>
          </cell>
          <cell r="K68">
            <v>0</v>
          </cell>
          <cell r="L68">
            <v>0</v>
          </cell>
          <cell r="M68">
            <v>0</v>
          </cell>
          <cell r="N68">
            <v>0</v>
          </cell>
          <cell r="O68">
            <v>0</v>
          </cell>
          <cell r="P68">
            <v>0</v>
          </cell>
          <cell r="Q68">
            <v>0</v>
          </cell>
          <cell r="R68">
            <v>0</v>
          </cell>
        </row>
        <row r="69">
          <cell r="G69"/>
          <cell r="H69"/>
          <cell r="I69"/>
          <cell r="J69"/>
          <cell r="K69"/>
          <cell r="L69"/>
          <cell r="M69"/>
          <cell r="N69"/>
          <cell r="O69"/>
          <cell r="P69"/>
          <cell r="Q69"/>
          <cell r="R69"/>
        </row>
        <row r="70">
          <cell r="G70">
            <v>43.45</v>
          </cell>
          <cell r="H70">
            <v>43.75</v>
          </cell>
          <cell r="I70">
            <v>44.66</v>
          </cell>
          <cell r="J70">
            <v>44.59</v>
          </cell>
          <cell r="K70">
            <v>42.88</v>
          </cell>
          <cell r="L70">
            <v>43.31</v>
          </cell>
          <cell r="M70">
            <v>41.980000000000004</v>
          </cell>
          <cell r="N70">
            <v>42.87</v>
          </cell>
          <cell r="O70">
            <v>43.980000000000004</v>
          </cell>
          <cell r="P70">
            <v>44.32</v>
          </cell>
          <cell r="Q70">
            <v>44.58</v>
          </cell>
          <cell r="R70">
            <v>44.31</v>
          </cell>
        </row>
        <row r="71">
          <cell r="G71"/>
          <cell r="H71"/>
          <cell r="I71"/>
          <cell r="J71"/>
          <cell r="K71"/>
          <cell r="L71"/>
          <cell r="M71"/>
          <cell r="N71"/>
          <cell r="O71"/>
          <cell r="P71"/>
          <cell r="Q71"/>
          <cell r="R71"/>
        </row>
        <row r="72">
          <cell r="G72">
            <v>26.55</v>
          </cell>
          <cell r="H72">
            <v>26.42</v>
          </cell>
          <cell r="I72">
            <v>26.42</v>
          </cell>
          <cell r="J72">
            <v>26.61</v>
          </cell>
          <cell r="K72">
            <v>26.44</v>
          </cell>
          <cell r="L72">
            <v>26.8</v>
          </cell>
          <cell r="M72">
            <v>26.48</v>
          </cell>
          <cell r="N72">
            <v>26.56</v>
          </cell>
          <cell r="O72">
            <v>26.56</v>
          </cell>
          <cell r="P72">
            <v>26.35</v>
          </cell>
          <cell r="Q72">
            <v>26.4</v>
          </cell>
          <cell r="R72">
            <v>26.43</v>
          </cell>
        </row>
        <row r="73">
          <cell r="G73">
            <v>16.899999999999999</v>
          </cell>
          <cell r="H73">
            <v>17.329999999999998</v>
          </cell>
          <cell r="I73">
            <v>18.239999999999998</v>
          </cell>
          <cell r="J73">
            <v>17.98</v>
          </cell>
          <cell r="K73">
            <v>16.440000000000001</v>
          </cell>
          <cell r="L73">
            <v>16.510000000000002</v>
          </cell>
          <cell r="M73">
            <v>15.5</v>
          </cell>
          <cell r="N73">
            <v>16.309999999999999</v>
          </cell>
          <cell r="O73">
            <v>17.420000000000002</v>
          </cell>
          <cell r="P73">
            <v>17.97</v>
          </cell>
          <cell r="Q73">
            <v>18.18</v>
          </cell>
          <cell r="R73">
            <v>17.88</v>
          </cell>
        </row>
      </sheetData>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sheetName val="ACTIVOS"/>
      <sheetName val="Plan exp"/>
      <sheetName val="Evo"/>
      <sheetName val="Bienes 2012"/>
      <sheetName val="Tasa depreciacion"/>
      <sheetName val="VNR Lineas"/>
      <sheetName val="VNR Sub Conex"/>
      <sheetName val="VNR Sub SPT"/>
      <sheetName val="VNR 2012"/>
      <sheetName val="CND"/>
      <sheetName val="CND SOLICITADO"/>
      <sheetName val="CND AJUSTADO"/>
      <sheetName val="CND AJUSTADO -RES"/>
      <sheetName val="HID"/>
      <sheetName val="HID2"/>
    </sheetNames>
    <sheetDataSet>
      <sheetData sheetId="0"/>
      <sheetData sheetId="1">
        <row r="31">
          <cell r="C31">
            <v>328214.90700403386</v>
          </cell>
          <cell r="D31">
            <v>329873.85527403385</v>
          </cell>
          <cell r="E31">
            <v>375008.30859411194</v>
          </cell>
          <cell r="F31">
            <v>443693.93626798945</v>
          </cell>
          <cell r="G31">
            <v>485043.08808429469</v>
          </cell>
          <cell r="H31">
            <v>616178.9186820162</v>
          </cell>
        </row>
        <row r="32">
          <cell r="C32">
            <v>199740.3098379263</v>
          </cell>
          <cell r="D32">
            <v>191281.4124455378</v>
          </cell>
          <cell r="E32">
            <v>226248.25165512742</v>
          </cell>
          <cell r="F32">
            <v>283412.23161891417</v>
          </cell>
          <cell r="G32">
            <v>311179.16689491225</v>
          </cell>
          <cell r="H32">
            <v>427492.30639783741</v>
          </cell>
        </row>
        <row r="33">
          <cell r="D33">
            <v>-10117.845662388465</v>
          </cell>
          <cell r="E33">
            <v>-10167.614110488465</v>
          </cell>
          <cell r="F33">
            <v>-11521.647710090807</v>
          </cell>
          <cell r="G33">
            <v>-13582.216540307134</v>
          </cell>
          <cell r="H33">
            <v>-14822.69109479629</v>
          </cell>
        </row>
        <row r="58">
          <cell r="C58">
            <v>0</v>
          </cell>
          <cell r="D58">
            <v>0</v>
          </cell>
          <cell r="E58">
            <v>0</v>
          </cell>
          <cell r="F58">
            <v>0</v>
          </cell>
          <cell r="G58">
            <v>0</v>
          </cell>
          <cell r="H58">
            <v>285457.82998149999</v>
          </cell>
        </row>
        <row r="59">
          <cell r="C59">
            <v>0</v>
          </cell>
          <cell r="D59">
            <v>0</v>
          </cell>
          <cell r="E59">
            <v>0</v>
          </cell>
          <cell r="F59">
            <v>0</v>
          </cell>
          <cell r="G59">
            <v>0</v>
          </cell>
          <cell r="H59">
            <v>285457.82998149999</v>
          </cell>
        </row>
        <row r="60">
          <cell r="H60">
            <v>0</v>
          </cell>
        </row>
        <row r="88">
          <cell r="D88">
            <v>-1133.7359452590517</v>
          </cell>
          <cell r="E88">
            <v>-1200.3310039590517</v>
          </cell>
          <cell r="F88">
            <v>-1295.3459452590516</v>
          </cell>
          <cell r="G88">
            <v>-1677.8759452590516</v>
          </cell>
          <cell r="H88">
            <v>-1710.9059452590518</v>
          </cell>
        </row>
        <row r="114">
          <cell r="C114">
            <v>21486.153981225449</v>
          </cell>
          <cell r="D114">
            <v>21486.153981225449</v>
          </cell>
          <cell r="E114">
            <v>21486.153981225449</v>
          </cell>
          <cell r="F114">
            <v>37734.153981225449</v>
          </cell>
          <cell r="G114">
            <v>37734.153981225449</v>
          </cell>
          <cell r="H114">
            <v>37734.153981225449</v>
          </cell>
        </row>
        <row r="115">
          <cell r="C115">
            <v>8607.5463466670826</v>
          </cell>
          <cell r="D115">
            <v>7843.4760976887846</v>
          </cell>
          <cell r="E115">
            <v>7079.4058487104867</v>
          </cell>
          <cell r="F115">
            <v>22563.335599732189</v>
          </cell>
          <cell r="G115">
            <v>21311.82535075389</v>
          </cell>
          <cell r="H115">
            <v>20060.315101775595</v>
          </cell>
        </row>
        <row r="116">
          <cell r="D116">
            <v>-764.07024897829797</v>
          </cell>
          <cell r="E116">
            <v>-764.07024897829797</v>
          </cell>
          <cell r="F116">
            <v>-764.07024897829797</v>
          </cell>
          <cell r="G116">
            <v>-1251.510248978298</v>
          </cell>
          <cell r="H116">
            <v>-1251.510248978298</v>
          </cell>
        </row>
        <row r="143">
          <cell r="C143">
            <v>2000.9</v>
          </cell>
          <cell r="D143">
            <v>2000.9</v>
          </cell>
          <cell r="E143">
            <v>2000.9</v>
          </cell>
          <cell r="F143">
            <v>2000.9</v>
          </cell>
          <cell r="G143">
            <v>0</v>
          </cell>
          <cell r="H143">
            <v>0</v>
          </cell>
        </row>
        <row r="144">
          <cell r="C144">
            <v>269.1894999999995</v>
          </cell>
          <cell r="D144">
            <v>199.15799999999945</v>
          </cell>
          <cell r="E144">
            <v>129.1264999999994</v>
          </cell>
          <cell r="F144">
            <v>59.094999999999345</v>
          </cell>
          <cell r="G144">
            <v>0</v>
          </cell>
          <cell r="H144">
            <v>0</v>
          </cell>
        </row>
        <row r="145">
          <cell r="D145">
            <v>-70.031500000000008</v>
          </cell>
          <cell r="E145">
            <v>-70.031500000000008</v>
          </cell>
          <cell r="F145">
            <v>-70.031500000000008</v>
          </cell>
          <cell r="G145">
            <v>-59</v>
          </cell>
          <cell r="H145">
            <v>0</v>
          </cell>
        </row>
        <row r="160">
          <cell r="D160">
            <v>552.98275666666655</v>
          </cell>
          <cell r="E160">
            <v>3708.333333333333</v>
          </cell>
          <cell r="F160">
            <v>14627.666002949512</v>
          </cell>
          <cell r="G160">
            <v>52.364652898412075</v>
          </cell>
          <cell r="H160">
            <v>47677.735883143461</v>
          </cell>
        </row>
        <row r="161">
          <cell r="D161">
            <v>0</v>
          </cell>
          <cell r="E161">
            <v>0</v>
          </cell>
          <cell r="F161">
            <v>0</v>
          </cell>
          <cell r="G161">
            <v>0</v>
          </cell>
          <cell r="H161">
            <v>142728.91499075</v>
          </cell>
        </row>
        <row r="162">
          <cell r="D162">
            <v>0</v>
          </cell>
          <cell r="E162">
            <v>0</v>
          </cell>
          <cell r="F162">
            <v>2598.9999999999995</v>
          </cell>
          <cell r="G162">
            <v>0</v>
          </cell>
          <cell r="H162">
            <v>0</v>
          </cell>
        </row>
        <row r="165">
          <cell r="D165">
            <v>1014.4604091666668</v>
          </cell>
          <cell r="E165">
            <v>13022.718169173173</v>
          </cell>
          <cell r="F165">
            <v>29436.330429536429</v>
          </cell>
          <cell r="G165">
            <v>17387.492574819265</v>
          </cell>
          <cell r="H165">
            <v>63438.998632194074</v>
          </cell>
        </row>
        <row r="166">
          <cell r="D166">
            <v>0</v>
          </cell>
          <cell r="E166">
            <v>0</v>
          </cell>
          <cell r="F166">
            <v>0</v>
          </cell>
          <cell r="G166">
            <v>0</v>
          </cell>
          <cell r="H166">
            <v>142728.91499075</v>
          </cell>
        </row>
        <row r="167">
          <cell r="D167">
            <v>0</v>
          </cell>
          <cell r="E167">
            <v>0</v>
          </cell>
          <cell r="F167">
            <v>5300.25</v>
          </cell>
          <cell r="G167">
            <v>0</v>
          </cell>
          <cell r="H167">
            <v>0</v>
          </cell>
        </row>
        <row r="172">
          <cell r="G172">
            <v>575451.02642300935</v>
          </cell>
        </row>
        <row r="173">
          <cell r="G173">
            <v>97394.37630473396</v>
          </cell>
        </row>
        <row r="174">
          <cell r="G174">
            <v>672845.40272774326</v>
          </cell>
        </row>
        <row r="214">
          <cell r="C214">
            <v>36777.496935299991</v>
          </cell>
          <cell r="D214">
            <v>38997.332225299993</v>
          </cell>
          <cell r="E214">
            <v>42164.496935299991</v>
          </cell>
          <cell r="F214">
            <v>54915.496935299991</v>
          </cell>
          <cell r="G214">
            <v>56016.496935299991</v>
          </cell>
          <cell r="H214">
            <v>60059.496935299991</v>
          </cell>
        </row>
        <row r="215">
          <cell r="C215">
            <v>8409.7691952999921</v>
          </cell>
          <cell r="D215">
            <v>9495.8685400409413</v>
          </cell>
          <cell r="E215">
            <v>11462.702246081888</v>
          </cell>
          <cell r="F215">
            <v>22918.356300822834</v>
          </cell>
          <cell r="G215">
            <v>22341.480355563781</v>
          </cell>
          <cell r="H215">
            <v>24673.574410304729</v>
          </cell>
        </row>
      </sheetData>
      <sheetData sheetId="2"/>
      <sheetData sheetId="3"/>
      <sheetData sheetId="4"/>
      <sheetData sheetId="5"/>
      <sheetData sheetId="6"/>
      <sheetData sheetId="7"/>
      <sheetData sheetId="8"/>
      <sheetData sheetId="9"/>
      <sheetData sheetId="10">
        <row r="9">
          <cell r="B9">
            <v>2202.5441297199995</v>
          </cell>
          <cell r="C9">
            <v>2620.1873784320696</v>
          </cell>
          <cell r="D9">
            <v>3675.7503826279299</v>
          </cell>
          <cell r="E9">
            <v>3502.4341513399995</v>
          </cell>
          <cell r="F9">
            <v>3541.1801621499999</v>
          </cell>
          <cell r="G9">
            <v>3276.7801621499998</v>
          </cell>
          <cell r="H9">
            <v>3096.8921729599997</v>
          </cell>
          <cell r="I9">
            <v>3862.4921729599996</v>
          </cell>
          <cell r="J9">
            <v>3206.7041837699994</v>
          </cell>
          <cell r="K9">
            <v>3057.6041837699995</v>
          </cell>
        </row>
      </sheetData>
      <sheetData sheetId="11"/>
      <sheetData sheetId="12"/>
      <sheetData sheetId="13"/>
      <sheetData sheetId="14">
        <row r="8">
          <cell r="B8">
            <v>1606411.32</v>
          </cell>
          <cell r="C8">
            <v>1524430.06</v>
          </cell>
          <cell r="D8">
            <v>1636292.4519999998</v>
          </cell>
          <cell r="E8">
            <v>1671892.4519999998</v>
          </cell>
          <cell r="F8">
            <v>4560369.8103999998</v>
          </cell>
          <cell r="G8">
            <v>2015329.8103999998</v>
          </cell>
          <cell r="H8">
            <v>2353347.1688000001</v>
          </cell>
          <cell r="I8">
            <v>2051147.1687999999</v>
          </cell>
          <cell r="J8">
            <v>2668320.7535999995</v>
          </cell>
          <cell r="K8">
            <v>2075620.7535999997</v>
          </cell>
        </row>
      </sheetData>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2012 Contraloría Historico"/>
      <sheetName val="2001-2012 Contraloría Var Hist "/>
      <sheetName val="Variacion PIB por Act 2001-09"/>
      <sheetName val="2001-12Contraloría Estruc. Hist"/>
      <sheetName val="Evalua Estimado 2006"/>
      <sheetName val="Variacion PIB- Esc. Exp. Canal"/>
      <sheetName val="PIB 2011 Estimado "/>
      <sheetName val="IMAE 2005 - 13"/>
      <sheetName val="Pronosticos Publicados 2013 "/>
      <sheetName val="Pronosticos Publicados 2014-17 "/>
      <sheetName val="PIB Mundial vs Panama  2001-13"/>
      <sheetName val="PIB 2013, tres metodologías (M)"/>
      <sheetName val="Var.  Estructural 2012  Mod"/>
      <sheetName val="TC Estimadas a 2013 "/>
      <sheetName val="PIB 2012 Historico Estimado "/>
      <sheetName val="PIB Estructural II TRIM 2005-12"/>
      <sheetName val="VALIDAR PIB Estruc II Trim 2011"/>
      <sheetName val="AjustPonderadoXActiv.2012 "/>
      <sheetName val="PIB Estructural II TRIM 2005-13"/>
      <sheetName val="VALIDAR PIBEstruc IITrim E 2012"/>
      <sheetName val="Estimado de Impuestos Netos"/>
      <sheetName val="PIB Estruc. Est. II Trim 2012 V"/>
      <sheetName val="PIB Estruc. Est. II Trim 201"/>
      <sheetName val="PIB Estruc. Est. II Trim 2012"/>
      <sheetName val="PIB Pre Est Estruc II Trim 2013"/>
      <sheetName val="PIBMOD; 2014 Tres Metodologias "/>
      <sheetName val="PIBOPT; 2014 Tres Metodologias "/>
      <sheetName val="PIBPES; 2014 Tres Metodologias"/>
      <sheetName val="PIB Estructural 2013-14 Est. 2T"/>
      <sheetName val="PIB Estruc. III TRIM 2005 -13"/>
      <sheetName val="PIB Estructural III Trim2011"/>
      <sheetName val="PIB Estructural III Trim2011Mod"/>
      <sheetName val="PIB Estructural E III Trim2013"/>
      <sheetName val="PIBMOD; 2014 Tres Metodolog III"/>
      <sheetName val="PIBOPT; 2014 Tres Metodolog III"/>
      <sheetName val="PIBPES; 2014 Tres Metodolog III"/>
      <sheetName val="PIB Estructural 2013-14 Est 3T"/>
      <sheetName val="PIB Estructural 2012 Est. 3T"/>
      <sheetName val="Analisis IMAE 2008"/>
      <sheetName val="Analisis IMAE 2008 Anexo"/>
      <sheetName val="PIB Estructural III Trim 2008 "/>
      <sheetName val="Tasas PIB INTRACORP"/>
      <sheetName val="Empalme de Bases 96-82 (2)"/>
      <sheetName val="Tasas PIB INTRACORP2005-21"/>
      <sheetName val="Tasas PIB INTRACORP2005-24"/>
      <sheetName val="Comp.Tasas PIB INTRACORP- Real "/>
      <sheetName val="Gráfico TASAS 2009-2024"/>
      <sheetName val="Premisas Escenarios"/>
      <sheetName val="Estimacion PIB 2012-2026"/>
      <sheetName val="Pronosticos 2012-2026 "/>
      <sheetName val="Estimacion PIB 2013-2027"/>
      <sheetName val="Estimacion PIB 2T 2014-2028"/>
      <sheetName val="Estimacion PIB 3T 2014-2028"/>
      <sheetName val="Pronosticos 2014-28"/>
      <sheetName val="Pronosticos 2011-25 mOD +,-5%"/>
      <sheetName val="Estimacion PIB 2010-2024 (2)"/>
      <sheetName val="Pronosticos 2010-24 % (2)"/>
      <sheetName val="Estimacion PIB 2010-2024 (3)"/>
      <sheetName val="Empalme de Bases PIB96-82 13-27"/>
      <sheetName val="Empalme de Bases 96-82"/>
      <sheetName val="Empalme de Bases 96-82 3T"/>
      <sheetName val="Comp. Hist. Manuf. 1982=1"/>
      <sheetName val="Pronosticos 2010-24 % (3)"/>
      <sheetName val="Tasas PIB INTRACORP (3)"/>
      <sheetName val="Empalme de Bases 96-82 11-26"/>
      <sheetName val="Mat.  Cons.  2002-2006"/>
      <sheetName val="Produccion fisica Man 2002-06"/>
      <sheetName val="Carac.Consumo ELec. Sector Ind."/>
      <sheetName val="industria-Algunos indicadores"/>
      <sheetName val="Impacto Sector Sec al PIB "/>
      <sheetName val="PIB MANUFACTURA 1986-2010"/>
      <sheetName val="Est. PIB MANUFACTURA ACP1996Mod"/>
      <sheetName val="Est. PIB MANUFACTURA ACP19963T"/>
      <sheetName val="Impacto Man al PIB 2013-27"/>
      <sheetName val="Est. PIB MANUF. EMPALM2014-28 2"/>
      <sheetName val="Est. PIBMANUF.EMPALM2014- 28 3T"/>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2012 Contraloría Historico"/>
      <sheetName val="2001-2012 Contraloría Var Hist "/>
      <sheetName val="Variacion PIB por Act 2001-09"/>
      <sheetName val="2001-12Contraloría Estruc. Hist"/>
      <sheetName val="Evalua Estimado 2006"/>
      <sheetName val="Variacion PIB- Esc. Exp. Canal"/>
      <sheetName val="PIB 2011 Estimado "/>
      <sheetName val="IMAE 2005 - 13"/>
      <sheetName val="Pronosticos Publicados 2013 "/>
      <sheetName val="Pronosticos Publicados 2014-17 "/>
      <sheetName val="PIB Mundial vs Panama  2001-13"/>
      <sheetName val="PIB 2013, tres metodologías (M)"/>
      <sheetName val="Var.  Estructural 2012  Mod"/>
      <sheetName val="TC Estimadas a 2013 "/>
      <sheetName val="PIB 2012 Historico Estimado "/>
      <sheetName val="PIB Estructural II TRIM 2005-12"/>
      <sheetName val="VALIDAR PIB Estruc II Trim 2011"/>
      <sheetName val="AjustPonderadoXActiv.2012 "/>
      <sheetName val="PIB Estructural II TRIM 2005-13"/>
      <sheetName val="VALIDAR PIBEstruc IITrim E 2012"/>
      <sheetName val="Estimado de Impuestos Netos"/>
      <sheetName val="PIB Estruc. Est. II Trim 2012 V"/>
      <sheetName val="PIB Estruc. Est. II Trim 201"/>
      <sheetName val="PIB Estruc. Est. II Trim 2012"/>
      <sheetName val="PIB Pre Est Estruc II Trim 2013"/>
      <sheetName val="PIBMOD; 2014 Tres Metodologias "/>
      <sheetName val="PIBOPT; 2014 Tres Metodologias "/>
      <sheetName val="PIBPES; 2014 Tres Metodologias"/>
      <sheetName val="PIB Estructural 2013-14 Est. 2T"/>
      <sheetName val="PIB Estruc. III TRIM 2005 -13"/>
      <sheetName val="PIB Estructural III Trim2011"/>
      <sheetName val="PIB Estructural III Trim2011Mod"/>
      <sheetName val="PIB Estructural E III Trim2013"/>
      <sheetName val="PIBMOD; 2014 Tres Metodolog III"/>
      <sheetName val="PIBOPT; 2014 Tres Metodolog III"/>
      <sheetName val="PIBPES; 2014 Tres Metodolog III"/>
      <sheetName val="PIB Estructural 2013-14 Est 3T"/>
      <sheetName val="PIB Estructural 2012 Est. 3T"/>
      <sheetName val="Analisis IMAE 2008"/>
      <sheetName val="Analisis IMAE 2008 Anexo"/>
      <sheetName val="PIB Estructural III Trim 2008 "/>
      <sheetName val="Tasas PIB INTRACORP"/>
      <sheetName val="Empalme de Bases 96-82 (2)"/>
      <sheetName val="Tasas PIB INTRACORP2005-21"/>
      <sheetName val="Tasas PIB INTRACORP2005-24"/>
      <sheetName val="Comp.Tasas PIB INTRACORP- Real "/>
      <sheetName val="Gráfico TASAS 2009-2024"/>
      <sheetName val="Premisas Escenarios"/>
      <sheetName val="Estimacion PIB 2012-2026"/>
      <sheetName val="Pronosticos 2012-2026 "/>
      <sheetName val="Estimacion PIB 2013-2027"/>
      <sheetName val="Estimacion PIB 2T 2014-2028"/>
      <sheetName val="Estimacion PIB 3T 2014-2028"/>
      <sheetName val="Pronosticos 2014-28"/>
      <sheetName val="Pronosticos 2011-25 mOD +,-5%"/>
      <sheetName val="Estimacion PIB 2010-2024 (2)"/>
      <sheetName val="Pronosticos 2010-24 % (2)"/>
      <sheetName val="Estimacion PIB 2010-2024 (3)"/>
      <sheetName val="Empalme de Bases PIB96-82 13-27"/>
      <sheetName val="Empalme de Bases 96-82"/>
      <sheetName val="Empalme de Bases 96-82 3T"/>
      <sheetName val="Comp. Hist. Manuf. 1982=1"/>
      <sheetName val="Pronosticos 2010-24 % (3)"/>
      <sheetName val="Tasas PIB INTRACORP (3)"/>
      <sheetName val="Empalme de Bases 96-82 11-26"/>
      <sheetName val="Mat.  Cons.  2002-2006"/>
      <sheetName val="Produccion fisica Man 2002-06"/>
      <sheetName val="Carac.Consumo ELec. Sector Ind."/>
      <sheetName val="industria-Algunos indicadores"/>
      <sheetName val="Impacto Sector Sec al PIB "/>
      <sheetName val="PIB MANUFACTURA 1986-2010"/>
      <sheetName val="Est. PIB MANUFACTURA ACP1996Mod"/>
      <sheetName val="Est. PIB MANUFACTURA ACP19963T"/>
      <sheetName val="Impacto Man al PIB 2013-27"/>
      <sheetName val="Est. PIB MANUF. EMPALM2014-28 2"/>
      <sheetName val="Est. PIBMANUF.EMPALM2014- 28 3T"/>
      <sheetName val="Hoja3"/>
      <sheetName val="Hoja1"/>
    </sheetNames>
    <sheetDataSet>
      <sheetData sheetId="0">
        <row r="43">
          <cell r="H43">
            <v>14041.199999999999</v>
          </cell>
        </row>
      </sheetData>
      <sheetData sheetId="1"/>
      <sheetData sheetId="2"/>
      <sheetData sheetId="3"/>
      <sheetData sheetId="4"/>
      <sheetData sheetId="5"/>
      <sheetData sheetId="6"/>
      <sheetData sheetId="7"/>
      <sheetData sheetId="8"/>
      <sheetData sheetId="9">
        <row r="69">
          <cell r="AB69">
            <v>6.25</v>
          </cell>
        </row>
      </sheetData>
      <sheetData sheetId="10"/>
      <sheetData sheetId="11">
        <row r="8">
          <cell r="G8">
            <v>2004</v>
          </cell>
        </row>
      </sheetData>
      <sheetData sheetId="12"/>
      <sheetData sheetId="13"/>
      <sheetData sheetId="14"/>
      <sheetData sheetId="15">
        <row r="45">
          <cell r="M45">
            <v>8.5277611600148129E-2</v>
          </cell>
        </row>
      </sheetData>
      <sheetData sheetId="16">
        <row r="14">
          <cell r="K14">
            <v>2.9381495383871546E-2</v>
          </cell>
        </row>
      </sheetData>
      <sheetData sheetId="17"/>
      <sheetData sheetId="18">
        <row r="13">
          <cell r="AK13">
            <v>730.29380429282003</v>
          </cell>
        </row>
      </sheetData>
      <sheetData sheetId="19"/>
      <sheetData sheetId="20">
        <row r="27">
          <cell r="N27">
            <v>0.30833039181080124</v>
          </cell>
        </row>
      </sheetData>
      <sheetData sheetId="21"/>
      <sheetData sheetId="22"/>
      <sheetData sheetId="23"/>
      <sheetData sheetId="24"/>
      <sheetData sheetId="25">
        <row r="15">
          <cell r="R15">
            <v>2.6338961472462064E-2</v>
          </cell>
        </row>
      </sheetData>
      <sheetData sheetId="26"/>
      <sheetData sheetId="27"/>
      <sheetData sheetId="28">
        <row r="42">
          <cell r="G42">
            <v>27697.120686863906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row r="19">
          <cell r="F19">
            <v>2.3443464982300322</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Existente"/>
      <sheetName val="IMPA Indicativo"/>
      <sheetName val="Sensibilidad"/>
      <sheetName val="Activos Reconocidos"/>
      <sheetName val="Tasa de Depreciación"/>
      <sheetName val="Base de Capital"/>
      <sheetName val="OMT%_ADMT%"/>
      <sheetName val="VNR Lin "/>
      <sheetName val=" VNR Sub"/>
      <sheetName val="Plan de Expansión"/>
      <sheetName val="Adiciones"/>
      <sheetName val="CND"/>
      <sheetName val="GEN_OBL"/>
      <sheetName val="Tercera Línea"/>
      <sheetName val="Bienes e Instalaciones 31_12_20"/>
      <sheetName val="tablas aux"/>
      <sheetName val="Base ETESA"/>
      <sheetName val="Cuadro Informe"/>
    </sheetNames>
    <sheetDataSet>
      <sheetData sheetId="0"/>
      <sheetData sheetId="1"/>
      <sheetData sheetId="2">
        <row r="6">
          <cell r="B6">
            <v>6.83E-2</v>
          </cell>
        </row>
      </sheetData>
      <sheetData sheetId="3">
        <row r="58">
          <cell r="C58">
            <v>218884889.84630552</v>
          </cell>
        </row>
      </sheetData>
      <sheetData sheetId="4"/>
      <sheetData sheetId="5"/>
      <sheetData sheetId="6">
        <row r="13">
          <cell r="E13">
            <v>1.32E-2</v>
          </cell>
        </row>
      </sheetData>
      <sheetData sheetId="7">
        <row r="64">
          <cell r="I64">
            <v>535282199.57275289</v>
          </cell>
        </row>
        <row r="74">
          <cell r="I74">
            <v>6552391.9799189642</v>
          </cell>
        </row>
      </sheetData>
      <sheetData sheetId="8">
        <row r="24">
          <cell r="G24">
            <v>393243678.45037353</v>
          </cell>
        </row>
        <row r="33">
          <cell r="G33">
            <v>42460461.096931174</v>
          </cell>
        </row>
        <row r="45">
          <cell r="H45">
            <v>101412915.54112218</v>
          </cell>
        </row>
      </sheetData>
      <sheetData sheetId="9"/>
      <sheetData sheetId="10"/>
      <sheetData sheetId="11">
        <row r="26">
          <cell r="D26">
            <v>2719496.0937689999</v>
          </cell>
        </row>
      </sheetData>
      <sheetData sheetId="12">
        <row r="9">
          <cell r="I9">
            <v>-6188.872545107246</v>
          </cell>
        </row>
      </sheetData>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 val="Resumen Anual"/>
      <sheetName val="Resumen Anual (original)"/>
      <sheetName val="Justificacion"/>
      <sheetName val="Cuadro Resumen feb"/>
      <sheetName val="Liq Estamp.-Febrero2014"/>
      <sheetName val="Feb Estampilla Generación Final"/>
      <sheetName val="Estampilla Demanda Final"/>
      <sheetName val="AP Febrero Estampilla Postal"/>
      <sheetName val="ANALISIS 96 339"/>
      <sheetName val="Cap.Act. Año 1"/>
      <sheetName val="ESTAMP.-FEB 904"/>
      <sheetName val="Cargos Act. Año 1 (08)"/>
      <sheetName val="Cambio a SE"/>
      <sheetName val="Facturacion"/>
      <sheetName val="SEG ELEC GENERACION"/>
      <sheetName val="SEG ELECT DEMANDA"/>
      <sheetName val="LIQ SEG ELEC FEBRERO2014"/>
      <sheetName val=" LIQ DE ENERO 585"/>
      <sheetName val="SE Ajuste Parcial"/>
      <sheetName val="Balance Enero"/>
      <sheetName val="Balance Ajuste Parcial"/>
      <sheetName val="capacidades instaladas"/>
      <sheetName val="Ajuste Parcial Febrero"/>
      <sheetName val="Ajuste Parcial Enero"/>
      <sheetName val="M8"/>
      <sheetName val="Ajuste distibucion"/>
    </sheetNames>
    <sheetDataSet>
      <sheetData sheetId="0"/>
      <sheetData sheetId="1">
        <row r="14">
          <cell r="D14">
            <v>2000.9</v>
          </cell>
        </row>
      </sheetData>
      <sheetData sheetId="2"/>
      <sheetData sheetId="3"/>
      <sheetData sheetId="4">
        <row r="14">
          <cell r="D14">
            <v>2000.9</v>
          </cell>
        </row>
      </sheetData>
      <sheetData sheetId="5"/>
      <sheetData sheetId="6"/>
      <sheetData sheetId="7">
        <row r="14">
          <cell r="D14">
            <v>2000.9</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sheetData sheetId="21"/>
      <sheetData sheetId="22"/>
      <sheetData sheetId="23">
        <row r="14">
          <cell r="D14">
            <v>63657.810000000005</v>
          </cell>
        </row>
      </sheetData>
      <sheetData sheetId="24">
        <row r="14">
          <cell r="D14">
            <v>2000.9</v>
          </cell>
        </row>
      </sheetData>
      <sheetData sheetId="25"/>
      <sheetData sheetId="26">
        <row r="14">
          <cell r="D14">
            <v>2000.9</v>
          </cell>
        </row>
      </sheetData>
      <sheetData sheetId="27"/>
      <sheetData sheetId="28"/>
      <sheetData sheetId="29">
        <row r="14">
          <cell r="D14">
            <v>0</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s>
    <sheetDataSet>
      <sheetData sheetId="0"/>
      <sheetData sheetId="1">
        <row r="14">
          <cell r="D14">
            <v>2000.9</v>
          </cell>
        </row>
      </sheetData>
      <sheetData sheetId="2"/>
      <sheetData sheetId="3"/>
      <sheetData sheetId="4">
        <row r="14">
          <cell r="D14">
            <v>2000.9</v>
          </cell>
        </row>
      </sheetData>
      <sheetData sheetId="5"/>
      <sheetData sheetId="6"/>
      <sheetData sheetId="7">
        <row r="14">
          <cell r="D14">
            <v>2000.9</v>
          </cell>
        </row>
      </sheetData>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s>
    <sheetDataSet>
      <sheetData sheetId="0"/>
      <sheetData sheetId="1">
        <row r="14">
          <cell r="D14">
            <v>2000.9</v>
          </cell>
        </row>
      </sheetData>
      <sheetData sheetId="2"/>
      <sheetData sheetId="3"/>
      <sheetData sheetId="4">
        <row r="14">
          <cell r="D14">
            <v>2000.9</v>
          </cell>
        </row>
      </sheetData>
      <sheetData sheetId="5"/>
      <sheetData sheetId="6"/>
      <sheetData sheetId="7">
        <row r="14">
          <cell r="D14">
            <v>2000.9</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 Base capital completa"/>
      <sheetName val="IMP O&amp;M promedio anterior"/>
      <sheetName val="IMP tasa 12.24%"/>
      <sheetName val="Graficas"/>
      <sheetName val="IMP"/>
      <sheetName val="Hidrometeorología"/>
      <sheetName val="Activos"/>
      <sheetName val="Hoja1"/>
      <sheetName val="Bienes 2004"/>
      <sheetName val="VNR"/>
      <sheetName val="VNR Líneas"/>
      <sheetName val="Compara Valor libros-vs-VNR"/>
      <sheetName val="VNR SE"/>
      <sheetName val="Inversión-Resumen"/>
      <sheetName val="Inversiones"/>
      <sheetName val="Retiros"/>
      <sheetName val="CND"/>
      <sheetName val="Informática"/>
      <sheetName val="Hoja2"/>
      <sheetName val="RRT"/>
      <sheetName val="#¡REF"/>
      <sheetName val="IMP-Ajuste-Fechas"/>
      <sheetName val="IMP-APROBADO"/>
      <sheetName val="Resumen Anual"/>
      <sheetName val="Resumen Anual (original)"/>
      <sheetName val="Justificacion"/>
      <sheetName val="Cuadro Resumen feb"/>
      <sheetName val="Liq Estamp.-Febrero2014"/>
      <sheetName val="Feb Estampilla Generación Final"/>
      <sheetName val="Estampilla Demanda Final"/>
      <sheetName val="AP Febrero Estampilla Postal"/>
      <sheetName val="ANALISIS 96 339"/>
      <sheetName val="Cap.Act. Año 1"/>
      <sheetName val="ESTAMP.-FEB 904"/>
      <sheetName val="Cargos Act. Año 1 (08)"/>
      <sheetName val="Cambio a SE"/>
      <sheetName val="Facturacion"/>
      <sheetName val="SEG ELEC GENERACION"/>
      <sheetName val="SEG ELECT DEMANDA"/>
      <sheetName val="LIQ SEG ELEC FEBRERO2014"/>
      <sheetName val=" LIQ DE ENERO 585"/>
      <sheetName val="SE Ajuste Parcial"/>
      <sheetName val="Balance Enero"/>
      <sheetName val="Balance Ajuste Parcial"/>
      <sheetName val="capacidades instaladas"/>
      <sheetName val="Ajuste Parcial Febrero"/>
      <sheetName val="Ajuste Parcial Enero"/>
      <sheetName val="M8"/>
      <sheetName val="Ajuste distibucion"/>
    </sheetNames>
    <sheetDataSet>
      <sheetData sheetId="0"/>
      <sheetData sheetId="1">
        <row r="14">
          <cell r="D14">
            <v>2000.9</v>
          </cell>
        </row>
      </sheetData>
      <sheetData sheetId="2"/>
      <sheetData sheetId="3"/>
      <sheetData sheetId="4">
        <row r="14">
          <cell r="D14">
            <v>2000.9</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N290"/>
  <sheetViews>
    <sheetView showGridLines="0" workbookViewId="0">
      <selection activeCell="A11" sqref="A11:N15"/>
    </sheetView>
  </sheetViews>
  <sheetFormatPr baseColWidth="10" defaultColWidth="8.6640625" defaultRowHeight="15" customHeight="1"/>
  <cols>
    <col min="1" max="1" width="8.6640625" style="389"/>
    <col min="2" max="2" width="13.6640625" style="389" customWidth="1"/>
    <col min="3" max="3" width="13.33203125" style="389" customWidth="1"/>
    <col min="4" max="4" width="9.109375" style="389" bestFit="1" customWidth="1"/>
    <col min="5" max="5" width="9.5546875" style="389" bestFit="1" customWidth="1"/>
    <col min="6" max="6" width="9" style="389" customWidth="1"/>
    <col min="7" max="7" width="8.88671875" style="389" bestFit="1" customWidth="1"/>
    <col min="8" max="9" width="11.44140625" style="389" customWidth="1"/>
    <col min="10" max="10" width="9.33203125" style="389" customWidth="1"/>
    <col min="11" max="12" width="8.88671875" style="389" bestFit="1" customWidth="1"/>
    <col min="13" max="13" width="9.44140625" style="389" bestFit="1" customWidth="1"/>
    <col min="14" max="257" width="8.6640625" style="389"/>
    <col min="258" max="258" width="13.6640625" style="389" customWidth="1"/>
    <col min="259" max="259" width="13.33203125" style="389" customWidth="1"/>
    <col min="260" max="260" width="9.109375" style="389" bestFit="1" customWidth="1"/>
    <col min="261" max="261" width="9.5546875" style="389" bestFit="1" customWidth="1"/>
    <col min="262" max="262" width="9" style="389" customWidth="1"/>
    <col min="263" max="263" width="8.88671875" style="389" bestFit="1" customWidth="1"/>
    <col min="264" max="265" width="11.44140625" style="389" customWidth="1"/>
    <col min="266" max="266" width="9.33203125" style="389" customWidth="1"/>
    <col min="267" max="268" width="8.88671875" style="389" bestFit="1" customWidth="1"/>
    <col min="269" max="269" width="9.44140625" style="389" bestFit="1" customWidth="1"/>
    <col min="270" max="513" width="8.6640625" style="389"/>
    <col min="514" max="514" width="13.6640625" style="389" customWidth="1"/>
    <col min="515" max="515" width="13.33203125" style="389" customWidth="1"/>
    <col min="516" max="516" width="9.109375" style="389" bestFit="1" customWidth="1"/>
    <col min="517" max="517" width="9.5546875" style="389" bestFit="1" customWidth="1"/>
    <col min="518" max="518" width="9" style="389" customWidth="1"/>
    <col min="519" max="519" width="8.88671875" style="389" bestFit="1" customWidth="1"/>
    <col min="520" max="521" width="11.44140625" style="389" customWidth="1"/>
    <col min="522" max="522" width="9.33203125" style="389" customWidth="1"/>
    <col min="523" max="524" width="8.88671875" style="389" bestFit="1" customWidth="1"/>
    <col min="525" max="525" width="9.44140625" style="389" bestFit="1" customWidth="1"/>
    <col min="526" max="769" width="8.6640625" style="389"/>
    <col min="770" max="770" width="13.6640625" style="389" customWidth="1"/>
    <col min="771" max="771" width="13.33203125" style="389" customWidth="1"/>
    <col min="772" max="772" width="9.109375" style="389" bestFit="1" customWidth="1"/>
    <col min="773" max="773" width="9.5546875" style="389" bestFit="1" customWidth="1"/>
    <col min="774" max="774" width="9" style="389" customWidth="1"/>
    <col min="775" max="775" width="8.88671875" style="389" bestFit="1" customWidth="1"/>
    <col min="776" max="777" width="11.44140625" style="389" customWidth="1"/>
    <col min="778" max="778" width="9.33203125" style="389" customWidth="1"/>
    <col min="779" max="780" width="8.88671875" style="389" bestFit="1" customWidth="1"/>
    <col min="781" max="781" width="9.44140625" style="389" bestFit="1" customWidth="1"/>
    <col min="782" max="1025" width="8.6640625" style="389"/>
    <col min="1026" max="1026" width="13.6640625" style="389" customWidth="1"/>
    <col min="1027" max="1027" width="13.33203125" style="389" customWidth="1"/>
    <col min="1028" max="1028" width="9.109375" style="389" bestFit="1" customWidth="1"/>
    <col min="1029" max="1029" width="9.5546875" style="389" bestFit="1" customWidth="1"/>
    <col min="1030" max="1030" width="9" style="389" customWidth="1"/>
    <col min="1031" max="1031" width="8.88671875" style="389" bestFit="1" customWidth="1"/>
    <col min="1032" max="1033" width="11.44140625" style="389" customWidth="1"/>
    <col min="1034" max="1034" width="9.33203125" style="389" customWidth="1"/>
    <col min="1035" max="1036" width="8.88671875" style="389" bestFit="1" customWidth="1"/>
    <col min="1037" max="1037" width="9.44140625" style="389" bestFit="1" customWidth="1"/>
    <col min="1038" max="1281" width="8.6640625" style="389"/>
    <col min="1282" max="1282" width="13.6640625" style="389" customWidth="1"/>
    <col min="1283" max="1283" width="13.33203125" style="389" customWidth="1"/>
    <col min="1284" max="1284" width="9.109375" style="389" bestFit="1" customWidth="1"/>
    <col min="1285" max="1285" width="9.5546875" style="389" bestFit="1" customWidth="1"/>
    <col min="1286" max="1286" width="9" style="389" customWidth="1"/>
    <col min="1287" max="1287" width="8.88671875" style="389" bestFit="1" customWidth="1"/>
    <col min="1288" max="1289" width="11.44140625" style="389" customWidth="1"/>
    <col min="1290" max="1290" width="9.33203125" style="389" customWidth="1"/>
    <col min="1291" max="1292" width="8.88671875" style="389" bestFit="1" customWidth="1"/>
    <col min="1293" max="1293" width="9.44140625" style="389" bestFit="1" customWidth="1"/>
    <col min="1294" max="1537" width="8.6640625" style="389"/>
    <col min="1538" max="1538" width="13.6640625" style="389" customWidth="1"/>
    <col min="1539" max="1539" width="13.33203125" style="389" customWidth="1"/>
    <col min="1540" max="1540" width="9.109375" style="389" bestFit="1" customWidth="1"/>
    <col min="1541" max="1541" width="9.5546875" style="389" bestFit="1" customWidth="1"/>
    <col min="1542" max="1542" width="9" style="389" customWidth="1"/>
    <col min="1543" max="1543" width="8.88671875" style="389" bestFit="1" customWidth="1"/>
    <col min="1544" max="1545" width="11.44140625" style="389" customWidth="1"/>
    <col min="1546" max="1546" width="9.33203125" style="389" customWidth="1"/>
    <col min="1547" max="1548" width="8.88671875" style="389" bestFit="1" customWidth="1"/>
    <col min="1549" max="1549" width="9.44140625" style="389" bestFit="1" customWidth="1"/>
    <col min="1550" max="1793" width="8.6640625" style="389"/>
    <col min="1794" max="1794" width="13.6640625" style="389" customWidth="1"/>
    <col min="1795" max="1795" width="13.33203125" style="389" customWidth="1"/>
    <col min="1796" max="1796" width="9.109375" style="389" bestFit="1" customWidth="1"/>
    <col min="1797" max="1797" width="9.5546875" style="389" bestFit="1" customWidth="1"/>
    <col min="1798" max="1798" width="9" style="389" customWidth="1"/>
    <col min="1799" max="1799" width="8.88671875" style="389" bestFit="1" customWidth="1"/>
    <col min="1800" max="1801" width="11.44140625" style="389" customWidth="1"/>
    <col min="1802" max="1802" width="9.33203125" style="389" customWidth="1"/>
    <col min="1803" max="1804" width="8.88671875" style="389" bestFit="1" customWidth="1"/>
    <col min="1805" max="1805" width="9.44140625" style="389" bestFit="1" customWidth="1"/>
    <col min="1806" max="2049" width="8.6640625" style="389"/>
    <col min="2050" max="2050" width="13.6640625" style="389" customWidth="1"/>
    <col min="2051" max="2051" width="13.33203125" style="389" customWidth="1"/>
    <col min="2052" max="2052" width="9.109375" style="389" bestFit="1" customWidth="1"/>
    <col min="2053" max="2053" width="9.5546875" style="389" bestFit="1" customWidth="1"/>
    <col min="2054" max="2054" width="9" style="389" customWidth="1"/>
    <col min="2055" max="2055" width="8.88671875" style="389" bestFit="1" customWidth="1"/>
    <col min="2056" max="2057" width="11.44140625" style="389" customWidth="1"/>
    <col min="2058" max="2058" width="9.33203125" style="389" customWidth="1"/>
    <col min="2059" max="2060" width="8.88671875" style="389" bestFit="1" customWidth="1"/>
    <col min="2061" max="2061" width="9.44140625" style="389" bestFit="1" customWidth="1"/>
    <col min="2062" max="2305" width="8.6640625" style="389"/>
    <col min="2306" max="2306" width="13.6640625" style="389" customWidth="1"/>
    <col min="2307" max="2307" width="13.33203125" style="389" customWidth="1"/>
    <col min="2308" max="2308" width="9.109375" style="389" bestFit="1" customWidth="1"/>
    <col min="2309" max="2309" width="9.5546875" style="389" bestFit="1" customWidth="1"/>
    <col min="2310" max="2310" width="9" style="389" customWidth="1"/>
    <col min="2311" max="2311" width="8.88671875" style="389" bestFit="1" customWidth="1"/>
    <col min="2312" max="2313" width="11.44140625" style="389" customWidth="1"/>
    <col min="2314" max="2314" width="9.33203125" style="389" customWidth="1"/>
    <col min="2315" max="2316" width="8.88671875" style="389" bestFit="1" customWidth="1"/>
    <col min="2317" max="2317" width="9.44140625" style="389" bestFit="1" customWidth="1"/>
    <col min="2318" max="2561" width="8.6640625" style="389"/>
    <col min="2562" max="2562" width="13.6640625" style="389" customWidth="1"/>
    <col min="2563" max="2563" width="13.33203125" style="389" customWidth="1"/>
    <col min="2564" max="2564" width="9.109375" style="389" bestFit="1" customWidth="1"/>
    <col min="2565" max="2565" width="9.5546875" style="389" bestFit="1" customWidth="1"/>
    <col min="2566" max="2566" width="9" style="389" customWidth="1"/>
    <col min="2567" max="2567" width="8.88671875" style="389" bestFit="1" customWidth="1"/>
    <col min="2568" max="2569" width="11.44140625" style="389" customWidth="1"/>
    <col min="2570" max="2570" width="9.33203125" style="389" customWidth="1"/>
    <col min="2571" max="2572" width="8.88671875" style="389" bestFit="1" customWidth="1"/>
    <col min="2573" max="2573" width="9.44140625" style="389" bestFit="1" customWidth="1"/>
    <col min="2574" max="2817" width="8.6640625" style="389"/>
    <col min="2818" max="2818" width="13.6640625" style="389" customWidth="1"/>
    <col min="2819" max="2819" width="13.33203125" style="389" customWidth="1"/>
    <col min="2820" max="2820" width="9.109375" style="389" bestFit="1" customWidth="1"/>
    <col min="2821" max="2821" width="9.5546875" style="389" bestFit="1" customWidth="1"/>
    <col min="2822" max="2822" width="9" style="389" customWidth="1"/>
    <col min="2823" max="2823" width="8.88671875" style="389" bestFit="1" customWidth="1"/>
    <col min="2824" max="2825" width="11.44140625" style="389" customWidth="1"/>
    <col min="2826" max="2826" width="9.33203125" style="389" customWidth="1"/>
    <col min="2827" max="2828" width="8.88671875" style="389" bestFit="1" customWidth="1"/>
    <col min="2829" max="2829" width="9.44140625" style="389" bestFit="1" customWidth="1"/>
    <col min="2830" max="3073" width="8.6640625" style="389"/>
    <col min="3074" max="3074" width="13.6640625" style="389" customWidth="1"/>
    <col min="3075" max="3075" width="13.33203125" style="389" customWidth="1"/>
    <col min="3076" max="3076" width="9.109375" style="389" bestFit="1" customWidth="1"/>
    <col min="3077" max="3077" width="9.5546875" style="389" bestFit="1" customWidth="1"/>
    <col min="3078" max="3078" width="9" style="389" customWidth="1"/>
    <col min="3079" max="3079" width="8.88671875" style="389" bestFit="1" customWidth="1"/>
    <col min="3080" max="3081" width="11.44140625" style="389" customWidth="1"/>
    <col min="3082" max="3082" width="9.33203125" style="389" customWidth="1"/>
    <col min="3083" max="3084" width="8.88671875" style="389" bestFit="1" customWidth="1"/>
    <col min="3085" max="3085" width="9.44140625" style="389" bestFit="1" customWidth="1"/>
    <col min="3086" max="3329" width="8.6640625" style="389"/>
    <col min="3330" max="3330" width="13.6640625" style="389" customWidth="1"/>
    <col min="3331" max="3331" width="13.33203125" style="389" customWidth="1"/>
    <col min="3332" max="3332" width="9.109375" style="389" bestFit="1" customWidth="1"/>
    <col min="3333" max="3333" width="9.5546875" style="389" bestFit="1" customWidth="1"/>
    <col min="3334" max="3334" width="9" style="389" customWidth="1"/>
    <col min="3335" max="3335" width="8.88671875" style="389" bestFit="1" customWidth="1"/>
    <col min="3336" max="3337" width="11.44140625" style="389" customWidth="1"/>
    <col min="3338" max="3338" width="9.33203125" style="389" customWidth="1"/>
    <col min="3339" max="3340" width="8.88671875" style="389" bestFit="1" customWidth="1"/>
    <col min="3341" max="3341" width="9.44140625" style="389" bestFit="1" customWidth="1"/>
    <col min="3342" max="3585" width="8.6640625" style="389"/>
    <col min="3586" max="3586" width="13.6640625" style="389" customWidth="1"/>
    <col min="3587" max="3587" width="13.33203125" style="389" customWidth="1"/>
    <col min="3588" max="3588" width="9.109375" style="389" bestFit="1" customWidth="1"/>
    <col min="3589" max="3589" width="9.5546875" style="389" bestFit="1" customWidth="1"/>
    <col min="3590" max="3590" width="9" style="389" customWidth="1"/>
    <col min="3591" max="3591" width="8.88671875" style="389" bestFit="1" customWidth="1"/>
    <col min="3592" max="3593" width="11.44140625" style="389" customWidth="1"/>
    <col min="3594" max="3594" width="9.33203125" style="389" customWidth="1"/>
    <col min="3595" max="3596" width="8.88671875" style="389" bestFit="1" customWidth="1"/>
    <col min="3597" max="3597" width="9.44140625" style="389" bestFit="1" customWidth="1"/>
    <col min="3598" max="3841" width="8.6640625" style="389"/>
    <col min="3842" max="3842" width="13.6640625" style="389" customWidth="1"/>
    <col min="3843" max="3843" width="13.33203125" style="389" customWidth="1"/>
    <col min="3844" max="3844" width="9.109375" style="389" bestFit="1" customWidth="1"/>
    <col min="3845" max="3845" width="9.5546875" style="389" bestFit="1" customWidth="1"/>
    <col min="3846" max="3846" width="9" style="389" customWidth="1"/>
    <col min="3847" max="3847" width="8.88671875" style="389" bestFit="1" customWidth="1"/>
    <col min="3848" max="3849" width="11.44140625" style="389" customWidth="1"/>
    <col min="3850" max="3850" width="9.33203125" style="389" customWidth="1"/>
    <col min="3851" max="3852" width="8.88671875" style="389" bestFit="1" customWidth="1"/>
    <col min="3853" max="3853" width="9.44140625" style="389" bestFit="1" customWidth="1"/>
    <col min="3854" max="4097" width="8.6640625" style="389"/>
    <col min="4098" max="4098" width="13.6640625" style="389" customWidth="1"/>
    <col min="4099" max="4099" width="13.33203125" style="389" customWidth="1"/>
    <col min="4100" max="4100" width="9.109375" style="389" bestFit="1" customWidth="1"/>
    <col min="4101" max="4101" width="9.5546875" style="389" bestFit="1" customWidth="1"/>
    <col min="4102" max="4102" width="9" style="389" customWidth="1"/>
    <col min="4103" max="4103" width="8.88671875" style="389" bestFit="1" customWidth="1"/>
    <col min="4104" max="4105" width="11.44140625" style="389" customWidth="1"/>
    <col min="4106" max="4106" width="9.33203125" style="389" customWidth="1"/>
    <col min="4107" max="4108" width="8.88671875" style="389" bestFit="1" customWidth="1"/>
    <col min="4109" max="4109" width="9.44140625" style="389" bestFit="1" customWidth="1"/>
    <col min="4110" max="4353" width="8.6640625" style="389"/>
    <col min="4354" max="4354" width="13.6640625" style="389" customWidth="1"/>
    <col min="4355" max="4355" width="13.33203125" style="389" customWidth="1"/>
    <col min="4356" max="4356" width="9.109375" style="389" bestFit="1" customWidth="1"/>
    <col min="4357" max="4357" width="9.5546875" style="389" bestFit="1" customWidth="1"/>
    <col min="4358" max="4358" width="9" style="389" customWidth="1"/>
    <col min="4359" max="4359" width="8.88671875" style="389" bestFit="1" customWidth="1"/>
    <col min="4360" max="4361" width="11.44140625" style="389" customWidth="1"/>
    <col min="4362" max="4362" width="9.33203125" style="389" customWidth="1"/>
    <col min="4363" max="4364" width="8.88671875" style="389" bestFit="1" customWidth="1"/>
    <col min="4365" max="4365" width="9.44140625" style="389" bestFit="1" customWidth="1"/>
    <col min="4366" max="4609" width="8.6640625" style="389"/>
    <col min="4610" max="4610" width="13.6640625" style="389" customWidth="1"/>
    <col min="4611" max="4611" width="13.33203125" style="389" customWidth="1"/>
    <col min="4612" max="4612" width="9.109375" style="389" bestFit="1" customWidth="1"/>
    <col min="4613" max="4613" width="9.5546875" style="389" bestFit="1" customWidth="1"/>
    <col min="4614" max="4614" width="9" style="389" customWidth="1"/>
    <col min="4615" max="4615" width="8.88671875" style="389" bestFit="1" customWidth="1"/>
    <col min="4616" max="4617" width="11.44140625" style="389" customWidth="1"/>
    <col min="4618" max="4618" width="9.33203125" style="389" customWidth="1"/>
    <col min="4619" max="4620" width="8.88671875" style="389" bestFit="1" customWidth="1"/>
    <col min="4621" max="4621" width="9.44140625" style="389" bestFit="1" customWidth="1"/>
    <col min="4622" max="4865" width="8.6640625" style="389"/>
    <col min="4866" max="4866" width="13.6640625" style="389" customWidth="1"/>
    <col min="4867" max="4867" width="13.33203125" style="389" customWidth="1"/>
    <col min="4868" max="4868" width="9.109375" style="389" bestFit="1" customWidth="1"/>
    <col min="4869" max="4869" width="9.5546875" style="389" bestFit="1" customWidth="1"/>
    <col min="4870" max="4870" width="9" style="389" customWidth="1"/>
    <col min="4871" max="4871" width="8.88671875" style="389" bestFit="1" customWidth="1"/>
    <col min="4872" max="4873" width="11.44140625" style="389" customWidth="1"/>
    <col min="4874" max="4874" width="9.33203125" style="389" customWidth="1"/>
    <col min="4875" max="4876" width="8.88671875" style="389" bestFit="1" customWidth="1"/>
    <col min="4877" max="4877" width="9.44140625" style="389" bestFit="1" customWidth="1"/>
    <col min="4878" max="5121" width="8.6640625" style="389"/>
    <col min="5122" max="5122" width="13.6640625" style="389" customWidth="1"/>
    <col min="5123" max="5123" width="13.33203125" style="389" customWidth="1"/>
    <col min="5124" max="5124" width="9.109375" style="389" bestFit="1" customWidth="1"/>
    <col min="5125" max="5125" width="9.5546875" style="389" bestFit="1" customWidth="1"/>
    <col min="5126" max="5126" width="9" style="389" customWidth="1"/>
    <col min="5127" max="5127" width="8.88671875" style="389" bestFit="1" customWidth="1"/>
    <col min="5128" max="5129" width="11.44140625" style="389" customWidth="1"/>
    <col min="5130" max="5130" width="9.33203125" style="389" customWidth="1"/>
    <col min="5131" max="5132" width="8.88671875" style="389" bestFit="1" customWidth="1"/>
    <col min="5133" max="5133" width="9.44140625" style="389" bestFit="1" customWidth="1"/>
    <col min="5134" max="5377" width="8.6640625" style="389"/>
    <col min="5378" max="5378" width="13.6640625" style="389" customWidth="1"/>
    <col min="5379" max="5379" width="13.33203125" style="389" customWidth="1"/>
    <col min="5380" max="5380" width="9.109375" style="389" bestFit="1" customWidth="1"/>
    <col min="5381" max="5381" width="9.5546875" style="389" bestFit="1" customWidth="1"/>
    <col min="5382" max="5382" width="9" style="389" customWidth="1"/>
    <col min="5383" max="5383" width="8.88671875" style="389" bestFit="1" customWidth="1"/>
    <col min="5384" max="5385" width="11.44140625" style="389" customWidth="1"/>
    <col min="5386" max="5386" width="9.33203125" style="389" customWidth="1"/>
    <col min="5387" max="5388" width="8.88671875" style="389" bestFit="1" customWidth="1"/>
    <col min="5389" max="5389" width="9.44140625" style="389" bestFit="1" customWidth="1"/>
    <col min="5390" max="5633" width="8.6640625" style="389"/>
    <col min="5634" max="5634" width="13.6640625" style="389" customWidth="1"/>
    <col min="5635" max="5635" width="13.33203125" style="389" customWidth="1"/>
    <col min="5636" max="5636" width="9.109375" style="389" bestFit="1" customWidth="1"/>
    <col min="5637" max="5637" width="9.5546875" style="389" bestFit="1" customWidth="1"/>
    <col min="5638" max="5638" width="9" style="389" customWidth="1"/>
    <col min="5639" max="5639" width="8.88671875" style="389" bestFit="1" customWidth="1"/>
    <col min="5640" max="5641" width="11.44140625" style="389" customWidth="1"/>
    <col min="5642" max="5642" width="9.33203125" style="389" customWidth="1"/>
    <col min="5643" max="5644" width="8.88671875" style="389" bestFit="1" customWidth="1"/>
    <col min="5645" max="5645" width="9.44140625" style="389" bestFit="1" customWidth="1"/>
    <col min="5646" max="5889" width="8.6640625" style="389"/>
    <col min="5890" max="5890" width="13.6640625" style="389" customWidth="1"/>
    <col min="5891" max="5891" width="13.33203125" style="389" customWidth="1"/>
    <col min="5892" max="5892" width="9.109375" style="389" bestFit="1" customWidth="1"/>
    <col min="5893" max="5893" width="9.5546875" style="389" bestFit="1" customWidth="1"/>
    <col min="5894" max="5894" width="9" style="389" customWidth="1"/>
    <col min="5895" max="5895" width="8.88671875" style="389" bestFit="1" customWidth="1"/>
    <col min="5896" max="5897" width="11.44140625" style="389" customWidth="1"/>
    <col min="5898" max="5898" width="9.33203125" style="389" customWidth="1"/>
    <col min="5899" max="5900" width="8.88671875" style="389" bestFit="1" customWidth="1"/>
    <col min="5901" max="5901" width="9.44140625" style="389" bestFit="1" customWidth="1"/>
    <col min="5902" max="6145" width="8.6640625" style="389"/>
    <col min="6146" max="6146" width="13.6640625" style="389" customWidth="1"/>
    <col min="6147" max="6147" width="13.33203125" style="389" customWidth="1"/>
    <col min="6148" max="6148" width="9.109375" style="389" bestFit="1" customWidth="1"/>
    <col min="6149" max="6149" width="9.5546875" style="389" bestFit="1" customWidth="1"/>
    <col min="6150" max="6150" width="9" style="389" customWidth="1"/>
    <col min="6151" max="6151" width="8.88671875" style="389" bestFit="1" customWidth="1"/>
    <col min="6152" max="6153" width="11.44140625" style="389" customWidth="1"/>
    <col min="6154" max="6154" width="9.33203125" style="389" customWidth="1"/>
    <col min="6155" max="6156" width="8.88671875" style="389" bestFit="1" customWidth="1"/>
    <col min="6157" max="6157" width="9.44140625" style="389" bestFit="1" customWidth="1"/>
    <col min="6158" max="6401" width="8.6640625" style="389"/>
    <col min="6402" max="6402" width="13.6640625" style="389" customWidth="1"/>
    <col min="6403" max="6403" width="13.33203125" style="389" customWidth="1"/>
    <col min="6404" max="6404" width="9.109375" style="389" bestFit="1" customWidth="1"/>
    <col min="6405" max="6405" width="9.5546875" style="389" bestFit="1" customWidth="1"/>
    <col min="6406" max="6406" width="9" style="389" customWidth="1"/>
    <col min="6407" max="6407" width="8.88671875" style="389" bestFit="1" customWidth="1"/>
    <col min="6408" max="6409" width="11.44140625" style="389" customWidth="1"/>
    <col min="6410" max="6410" width="9.33203125" style="389" customWidth="1"/>
    <col min="6411" max="6412" width="8.88671875" style="389" bestFit="1" customWidth="1"/>
    <col min="6413" max="6413" width="9.44140625" style="389" bestFit="1" customWidth="1"/>
    <col min="6414" max="6657" width="8.6640625" style="389"/>
    <col min="6658" max="6658" width="13.6640625" style="389" customWidth="1"/>
    <col min="6659" max="6659" width="13.33203125" style="389" customWidth="1"/>
    <col min="6660" max="6660" width="9.109375" style="389" bestFit="1" customWidth="1"/>
    <col min="6661" max="6661" width="9.5546875" style="389" bestFit="1" customWidth="1"/>
    <col min="6662" max="6662" width="9" style="389" customWidth="1"/>
    <col min="6663" max="6663" width="8.88671875" style="389" bestFit="1" customWidth="1"/>
    <col min="6664" max="6665" width="11.44140625" style="389" customWidth="1"/>
    <col min="6666" max="6666" width="9.33203125" style="389" customWidth="1"/>
    <col min="6667" max="6668" width="8.88671875" style="389" bestFit="1" customWidth="1"/>
    <col min="6669" max="6669" width="9.44140625" style="389" bestFit="1" customWidth="1"/>
    <col min="6670" max="6913" width="8.6640625" style="389"/>
    <col min="6914" max="6914" width="13.6640625" style="389" customWidth="1"/>
    <col min="6915" max="6915" width="13.33203125" style="389" customWidth="1"/>
    <col min="6916" max="6916" width="9.109375" style="389" bestFit="1" customWidth="1"/>
    <col min="6917" max="6917" width="9.5546875" style="389" bestFit="1" customWidth="1"/>
    <col min="6918" max="6918" width="9" style="389" customWidth="1"/>
    <col min="6919" max="6919" width="8.88671875" style="389" bestFit="1" customWidth="1"/>
    <col min="6920" max="6921" width="11.44140625" style="389" customWidth="1"/>
    <col min="6922" max="6922" width="9.33203125" style="389" customWidth="1"/>
    <col min="6923" max="6924" width="8.88671875" style="389" bestFit="1" customWidth="1"/>
    <col min="6925" max="6925" width="9.44140625" style="389" bestFit="1" customWidth="1"/>
    <col min="6926" max="7169" width="8.6640625" style="389"/>
    <col min="7170" max="7170" width="13.6640625" style="389" customWidth="1"/>
    <col min="7171" max="7171" width="13.33203125" style="389" customWidth="1"/>
    <col min="7172" max="7172" width="9.109375" style="389" bestFit="1" customWidth="1"/>
    <col min="7173" max="7173" width="9.5546875" style="389" bestFit="1" customWidth="1"/>
    <col min="7174" max="7174" width="9" style="389" customWidth="1"/>
    <col min="7175" max="7175" width="8.88671875" style="389" bestFit="1" customWidth="1"/>
    <col min="7176" max="7177" width="11.44140625" style="389" customWidth="1"/>
    <col min="7178" max="7178" width="9.33203125" style="389" customWidth="1"/>
    <col min="7179" max="7180" width="8.88671875" style="389" bestFit="1" customWidth="1"/>
    <col min="7181" max="7181" width="9.44140625" style="389" bestFit="1" customWidth="1"/>
    <col min="7182" max="7425" width="8.6640625" style="389"/>
    <col min="7426" max="7426" width="13.6640625" style="389" customWidth="1"/>
    <col min="7427" max="7427" width="13.33203125" style="389" customWidth="1"/>
    <col min="7428" max="7428" width="9.109375" style="389" bestFit="1" customWidth="1"/>
    <col min="7429" max="7429" width="9.5546875" style="389" bestFit="1" customWidth="1"/>
    <col min="7430" max="7430" width="9" style="389" customWidth="1"/>
    <col min="7431" max="7431" width="8.88671875" style="389" bestFit="1" customWidth="1"/>
    <col min="7432" max="7433" width="11.44140625" style="389" customWidth="1"/>
    <col min="7434" max="7434" width="9.33203125" style="389" customWidth="1"/>
    <col min="7435" max="7436" width="8.88671875" style="389" bestFit="1" customWidth="1"/>
    <col min="7437" max="7437" width="9.44140625" style="389" bestFit="1" customWidth="1"/>
    <col min="7438" max="7681" width="8.6640625" style="389"/>
    <col min="7682" max="7682" width="13.6640625" style="389" customWidth="1"/>
    <col min="7683" max="7683" width="13.33203125" style="389" customWidth="1"/>
    <col min="7684" max="7684" width="9.109375" style="389" bestFit="1" customWidth="1"/>
    <col min="7685" max="7685" width="9.5546875" style="389" bestFit="1" customWidth="1"/>
    <col min="7686" max="7686" width="9" style="389" customWidth="1"/>
    <col min="7687" max="7687" width="8.88671875" style="389" bestFit="1" customWidth="1"/>
    <col min="7688" max="7689" width="11.44140625" style="389" customWidth="1"/>
    <col min="7690" max="7690" width="9.33203125" style="389" customWidth="1"/>
    <col min="7691" max="7692" width="8.88671875" style="389" bestFit="1" customWidth="1"/>
    <col min="7693" max="7693" width="9.44140625" style="389" bestFit="1" customWidth="1"/>
    <col min="7694" max="7937" width="8.6640625" style="389"/>
    <col min="7938" max="7938" width="13.6640625" style="389" customWidth="1"/>
    <col min="7939" max="7939" width="13.33203125" style="389" customWidth="1"/>
    <col min="7940" max="7940" width="9.109375" style="389" bestFit="1" customWidth="1"/>
    <col min="7941" max="7941" width="9.5546875" style="389" bestFit="1" customWidth="1"/>
    <col min="7942" max="7942" width="9" style="389" customWidth="1"/>
    <col min="7943" max="7943" width="8.88671875" style="389" bestFit="1" customWidth="1"/>
    <col min="7944" max="7945" width="11.44140625" style="389" customWidth="1"/>
    <col min="7946" max="7946" width="9.33203125" style="389" customWidth="1"/>
    <col min="7947" max="7948" width="8.88671875" style="389" bestFit="1" customWidth="1"/>
    <col min="7949" max="7949" width="9.44140625" style="389" bestFit="1" customWidth="1"/>
    <col min="7950" max="8193" width="8.6640625" style="389"/>
    <col min="8194" max="8194" width="13.6640625" style="389" customWidth="1"/>
    <col min="8195" max="8195" width="13.33203125" style="389" customWidth="1"/>
    <col min="8196" max="8196" width="9.109375" style="389" bestFit="1" customWidth="1"/>
    <col min="8197" max="8197" width="9.5546875" style="389" bestFit="1" customWidth="1"/>
    <col min="8198" max="8198" width="9" style="389" customWidth="1"/>
    <col min="8199" max="8199" width="8.88671875" style="389" bestFit="1" customWidth="1"/>
    <col min="8200" max="8201" width="11.44140625" style="389" customWidth="1"/>
    <col min="8202" max="8202" width="9.33203125" style="389" customWidth="1"/>
    <col min="8203" max="8204" width="8.88671875" style="389" bestFit="1" customWidth="1"/>
    <col min="8205" max="8205" width="9.44140625" style="389" bestFit="1" customWidth="1"/>
    <col min="8206" max="8449" width="8.6640625" style="389"/>
    <col min="8450" max="8450" width="13.6640625" style="389" customWidth="1"/>
    <col min="8451" max="8451" width="13.33203125" style="389" customWidth="1"/>
    <col min="8452" max="8452" width="9.109375" style="389" bestFit="1" customWidth="1"/>
    <col min="8453" max="8453" width="9.5546875" style="389" bestFit="1" customWidth="1"/>
    <col min="8454" max="8454" width="9" style="389" customWidth="1"/>
    <col min="8455" max="8455" width="8.88671875" style="389" bestFit="1" customWidth="1"/>
    <col min="8456" max="8457" width="11.44140625" style="389" customWidth="1"/>
    <col min="8458" max="8458" width="9.33203125" style="389" customWidth="1"/>
    <col min="8459" max="8460" width="8.88671875" style="389" bestFit="1" customWidth="1"/>
    <col min="8461" max="8461" width="9.44140625" style="389" bestFit="1" customWidth="1"/>
    <col min="8462" max="8705" width="8.6640625" style="389"/>
    <col min="8706" max="8706" width="13.6640625" style="389" customWidth="1"/>
    <col min="8707" max="8707" width="13.33203125" style="389" customWidth="1"/>
    <col min="8708" max="8708" width="9.109375" style="389" bestFit="1" customWidth="1"/>
    <col min="8709" max="8709" width="9.5546875" style="389" bestFit="1" customWidth="1"/>
    <col min="8710" max="8710" width="9" style="389" customWidth="1"/>
    <col min="8711" max="8711" width="8.88671875" style="389" bestFit="1" customWidth="1"/>
    <col min="8712" max="8713" width="11.44140625" style="389" customWidth="1"/>
    <col min="8714" max="8714" width="9.33203125" style="389" customWidth="1"/>
    <col min="8715" max="8716" width="8.88671875" style="389" bestFit="1" customWidth="1"/>
    <col min="8717" max="8717" width="9.44140625" style="389" bestFit="1" customWidth="1"/>
    <col min="8718" max="8961" width="8.6640625" style="389"/>
    <col min="8962" max="8962" width="13.6640625" style="389" customWidth="1"/>
    <col min="8963" max="8963" width="13.33203125" style="389" customWidth="1"/>
    <col min="8964" max="8964" width="9.109375" style="389" bestFit="1" customWidth="1"/>
    <col min="8965" max="8965" width="9.5546875" style="389" bestFit="1" customWidth="1"/>
    <col min="8966" max="8966" width="9" style="389" customWidth="1"/>
    <col min="8967" max="8967" width="8.88671875" style="389" bestFit="1" customWidth="1"/>
    <col min="8968" max="8969" width="11.44140625" style="389" customWidth="1"/>
    <col min="8970" max="8970" width="9.33203125" style="389" customWidth="1"/>
    <col min="8971" max="8972" width="8.88671875" style="389" bestFit="1" customWidth="1"/>
    <col min="8973" max="8973" width="9.44140625" style="389" bestFit="1" customWidth="1"/>
    <col min="8974" max="9217" width="8.6640625" style="389"/>
    <col min="9218" max="9218" width="13.6640625" style="389" customWidth="1"/>
    <col min="9219" max="9219" width="13.33203125" style="389" customWidth="1"/>
    <col min="9220" max="9220" width="9.109375" style="389" bestFit="1" customWidth="1"/>
    <col min="9221" max="9221" width="9.5546875" style="389" bestFit="1" customWidth="1"/>
    <col min="9222" max="9222" width="9" style="389" customWidth="1"/>
    <col min="9223" max="9223" width="8.88671875" style="389" bestFit="1" customWidth="1"/>
    <col min="9224" max="9225" width="11.44140625" style="389" customWidth="1"/>
    <col min="9226" max="9226" width="9.33203125" style="389" customWidth="1"/>
    <col min="9227" max="9228" width="8.88671875" style="389" bestFit="1" customWidth="1"/>
    <col min="9229" max="9229" width="9.44140625" style="389" bestFit="1" customWidth="1"/>
    <col min="9230" max="9473" width="8.6640625" style="389"/>
    <col min="9474" max="9474" width="13.6640625" style="389" customWidth="1"/>
    <col min="9475" max="9475" width="13.33203125" style="389" customWidth="1"/>
    <col min="9476" max="9476" width="9.109375" style="389" bestFit="1" customWidth="1"/>
    <col min="9477" max="9477" width="9.5546875" style="389" bestFit="1" customWidth="1"/>
    <col min="9478" max="9478" width="9" style="389" customWidth="1"/>
    <col min="9479" max="9479" width="8.88671875" style="389" bestFit="1" customWidth="1"/>
    <col min="9480" max="9481" width="11.44140625" style="389" customWidth="1"/>
    <col min="9482" max="9482" width="9.33203125" style="389" customWidth="1"/>
    <col min="9483" max="9484" width="8.88671875" style="389" bestFit="1" customWidth="1"/>
    <col min="9485" max="9485" width="9.44140625" style="389" bestFit="1" customWidth="1"/>
    <col min="9486" max="9729" width="8.6640625" style="389"/>
    <col min="9730" max="9730" width="13.6640625" style="389" customWidth="1"/>
    <col min="9731" max="9731" width="13.33203125" style="389" customWidth="1"/>
    <col min="9732" max="9732" width="9.109375" style="389" bestFit="1" customWidth="1"/>
    <col min="9733" max="9733" width="9.5546875" style="389" bestFit="1" customWidth="1"/>
    <col min="9734" max="9734" width="9" style="389" customWidth="1"/>
    <col min="9735" max="9735" width="8.88671875" style="389" bestFit="1" customWidth="1"/>
    <col min="9736" max="9737" width="11.44140625" style="389" customWidth="1"/>
    <col min="9738" max="9738" width="9.33203125" style="389" customWidth="1"/>
    <col min="9739" max="9740" width="8.88671875" style="389" bestFit="1" customWidth="1"/>
    <col min="9741" max="9741" width="9.44140625" style="389" bestFit="1" customWidth="1"/>
    <col min="9742" max="9985" width="8.6640625" style="389"/>
    <col min="9986" max="9986" width="13.6640625" style="389" customWidth="1"/>
    <col min="9987" max="9987" width="13.33203125" style="389" customWidth="1"/>
    <col min="9988" max="9988" width="9.109375" style="389" bestFit="1" customWidth="1"/>
    <col min="9989" max="9989" width="9.5546875" style="389" bestFit="1" customWidth="1"/>
    <col min="9990" max="9990" width="9" style="389" customWidth="1"/>
    <col min="9991" max="9991" width="8.88671875" style="389" bestFit="1" customWidth="1"/>
    <col min="9992" max="9993" width="11.44140625" style="389" customWidth="1"/>
    <col min="9994" max="9994" width="9.33203125" style="389" customWidth="1"/>
    <col min="9995" max="9996" width="8.88671875" style="389" bestFit="1" customWidth="1"/>
    <col min="9997" max="9997" width="9.44140625" style="389" bestFit="1" customWidth="1"/>
    <col min="9998" max="10241" width="8.6640625" style="389"/>
    <col min="10242" max="10242" width="13.6640625" style="389" customWidth="1"/>
    <col min="10243" max="10243" width="13.33203125" style="389" customWidth="1"/>
    <col min="10244" max="10244" width="9.109375" style="389" bestFit="1" customWidth="1"/>
    <col min="10245" max="10245" width="9.5546875" style="389" bestFit="1" customWidth="1"/>
    <col min="10246" max="10246" width="9" style="389" customWidth="1"/>
    <col min="10247" max="10247" width="8.88671875" style="389" bestFit="1" customWidth="1"/>
    <col min="10248" max="10249" width="11.44140625" style="389" customWidth="1"/>
    <col min="10250" max="10250" width="9.33203125" style="389" customWidth="1"/>
    <col min="10251" max="10252" width="8.88671875" style="389" bestFit="1" customWidth="1"/>
    <col min="10253" max="10253" width="9.44140625" style="389" bestFit="1" customWidth="1"/>
    <col min="10254" max="10497" width="8.6640625" style="389"/>
    <col min="10498" max="10498" width="13.6640625" style="389" customWidth="1"/>
    <col min="10499" max="10499" width="13.33203125" style="389" customWidth="1"/>
    <col min="10500" max="10500" width="9.109375" style="389" bestFit="1" customWidth="1"/>
    <col min="10501" max="10501" width="9.5546875" style="389" bestFit="1" customWidth="1"/>
    <col min="10502" max="10502" width="9" style="389" customWidth="1"/>
    <col min="10503" max="10503" width="8.88671875" style="389" bestFit="1" customWidth="1"/>
    <col min="10504" max="10505" width="11.44140625" style="389" customWidth="1"/>
    <col min="10506" max="10506" width="9.33203125" style="389" customWidth="1"/>
    <col min="10507" max="10508" width="8.88671875" style="389" bestFit="1" customWidth="1"/>
    <col min="10509" max="10509" width="9.44140625" style="389" bestFit="1" customWidth="1"/>
    <col min="10510" max="10753" width="8.6640625" style="389"/>
    <col min="10754" max="10754" width="13.6640625" style="389" customWidth="1"/>
    <col min="10755" max="10755" width="13.33203125" style="389" customWidth="1"/>
    <col min="10756" max="10756" width="9.109375" style="389" bestFit="1" customWidth="1"/>
    <col min="10757" max="10757" width="9.5546875" style="389" bestFit="1" customWidth="1"/>
    <col min="10758" max="10758" width="9" style="389" customWidth="1"/>
    <col min="10759" max="10759" width="8.88671875" style="389" bestFit="1" customWidth="1"/>
    <col min="10760" max="10761" width="11.44140625" style="389" customWidth="1"/>
    <col min="10762" max="10762" width="9.33203125" style="389" customWidth="1"/>
    <col min="10763" max="10764" width="8.88671875" style="389" bestFit="1" customWidth="1"/>
    <col min="10765" max="10765" width="9.44140625" style="389" bestFit="1" customWidth="1"/>
    <col min="10766" max="11009" width="8.6640625" style="389"/>
    <col min="11010" max="11010" width="13.6640625" style="389" customWidth="1"/>
    <col min="11011" max="11011" width="13.33203125" style="389" customWidth="1"/>
    <col min="11012" max="11012" width="9.109375" style="389" bestFit="1" customWidth="1"/>
    <col min="11013" max="11013" width="9.5546875" style="389" bestFit="1" customWidth="1"/>
    <col min="11014" max="11014" width="9" style="389" customWidth="1"/>
    <col min="11015" max="11015" width="8.88671875" style="389" bestFit="1" customWidth="1"/>
    <col min="11016" max="11017" width="11.44140625" style="389" customWidth="1"/>
    <col min="11018" max="11018" width="9.33203125" style="389" customWidth="1"/>
    <col min="11019" max="11020" width="8.88671875" style="389" bestFit="1" customWidth="1"/>
    <col min="11021" max="11021" width="9.44140625" style="389" bestFit="1" customWidth="1"/>
    <col min="11022" max="11265" width="8.6640625" style="389"/>
    <col min="11266" max="11266" width="13.6640625" style="389" customWidth="1"/>
    <col min="11267" max="11267" width="13.33203125" style="389" customWidth="1"/>
    <col min="11268" max="11268" width="9.109375" style="389" bestFit="1" customWidth="1"/>
    <col min="11269" max="11269" width="9.5546875" style="389" bestFit="1" customWidth="1"/>
    <col min="11270" max="11270" width="9" style="389" customWidth="1"/>
    <col min="11271" max="11271" width="8.88671875" style="389" bestFit="1" customWidth="1"/>
    <col min="11272" max="11273" width="11.44140625" style="389" customWidth="1"/>
    <col min="11274" max="11274" width="9.33203125" style="389" customWidth="1"/>
    <col min="11275" max="11276" width="8.88671875" style="389" bestFit="1" customWidth="1"/>
    <col min="11277" max="11277" width="9.44140625" style="389" bestFit="1" customWidth="1"/>
    <col min="11278" max="11521" width="8.6640625" style="389"/>
    <col min="11522" max="11522" width="13.6640625" style="389" customWidth="1"/>
    <col min="11523" max="11523" width="13.33203125" style="389" customWidth="1"/>
    <col min="11524" max="11524" width="9.109375" style="389" bestFit="1" customWidth="1"/>
    <col min="11525" max="11525" width="9.5546875" style="389" bestFit="1" customWidth="1"/>
    <col min="11526" max="11526" width="9" style="389" customWidth="1"/>
    <col min="11527" max="11527" width="8.88671875" style="389" bestFit="1" customWidth="1"/>
    <col min="11528" max="11529" width="11.44140625" style="389" customWidth="1"/>
    <col min="11530" max="11530" width="9.33203125" style="389" customWidth="1"/>
    <col min="11531" max="11532" width="8.88671875" style="389" bestFit="1" customWidth="1"/>
    <col min="11533" max="11533" width="9.44140625" style="389" bestFit="1" customWidth="1"/>
    <col min="11534" max="11777" width="8.6640625" style="389"/>
    <col min="11778" max="11778" width="13.6640625" style="389" customWidth="1"/>
    <col min="11779" max="11779" width="13.33203125" style="389" customWidth="1"/>
    <col min="11780" max="11780" width="9.109375" style="389" bestFit="1" customWidth="1"/>
    <col min="11781" max="11781" width="9.5546875" style="389" bestFit="1" customWidth="1"/>
    <col min="11782" max="11782" width="9" style="389" customWidth="1"/>
    <col min="11783" max="11783" width="8.88671875" style="389" bestFit="1" customWidth="1"/>
    <col min="11784" max="11785" width="11.44140625" style="389" customWidth="1"/>
    <col min="11786" max="11786" width="9.33203125" style="389" customWidth="1"/>
    <col min="11787" max="11788" width="8.88671875" style="389" bestFit="1" customWidth="1"/>
    <col min="11789" max="11789" width="9.44140625" style="389" bestFit="1" customWidth="1"/>
    <col min="11790" max="12033" width="8.6640625" style="389"/>
    <col min="12034" max="12034" width="13.6640625" style="389" customWidth="1"/>
    <col min="12035" max="12035" width="13.33203125" style="389" customWidth="1"/>
    <col min="12036" max="12036" width="9.109375" style="389" bestFit="1" customWidth="1"/>
    <col min="12037" max="12037" width="9.5546875" style="389" bestFit="1" customWidth="1"/>
    <col min="12038" max="12038" width="9" style="389" customWidth="1"/>
    <col min="12039" max="12039" width="8.88671875" style="389" bestFit="1" customWidth="1"/>
    <col min="12040" max="12041" width="11.44140625" style="389" customWidth="1"/>
    <col min="12042" max="12042" width="9.33203125" style="389" customWidth="1"/>
    <col min="12043" max="12044" width="8.88671875" style="389" bestFit="1" customWidth="1"/>
    <col min="12045" max="12045" width="9.44140625" style="389" bestFit="1" customWidth="1"/>
    <col min="12046" max="12289" width="8.6640625" style="389"/>
    <col min="12290" max="12290" width="13.6640625" style="389" customWidth="1"/>
    <col min="12291" max="12291" width="13.33203125" style="389" customWidth="1"/>
    <col min="12292" max="12292" width="9.109375" style="389" bestFit="1" customWidth="1"/>
    <col min="12293" max="12293" width="9.5546875" style="389" bestFit="1" customWidth="1"/>
    <col min="12294" max="12294" width="9" style="389" customWidth="1"/>
    <col min="12295" max="12295" width="8.88671875" style="389" bestFit="1" customWidth="1"/>
    <col min="12296" max="12297" width="11.44140625" style="389" customWidth="1"/>
    <col min="12298" max="12298" width="9.33203125" style="389" customWidth="1"/>
    <col min="12299" max="12300" width="8.88671875" style="389" bestFit="1" customWidth="1"/>
    <col min="12301" max="12301" width="9.44140625" style="389" bestFit="1" customWidth="1"/>
    <col min="12302" max="12545" width="8.6640625" style="389"/>
    <col min="12546" max="12546" width="13.6640625" style="389" customWidth="1"/>
    <col min="12547" max="12547" width="13.33203125" style="389" customWidth="1"/>
    <col min="12548" max="12548" width="9.109375" style="389" bestFit="1" customWidth="1"/>
    <col min="12549" max="12549" width="9.5546875" style="389" bestFit="1" customWidth="1"/>
    <col min="12550" max="12550" width="9" style="389" customWidth="1"/>
    <col min="12551" max="12551" width="8.88671875" style="389" bestFit="1" customWidth="1"/>
    <col min="12552" max="12553" width="11.44140625" style="389" customWidth="1"/>
    <col min="12554" max="12554" width="9.33203125" style="389" customWidth="1"/>
    <col min="12555" max="12556" width="8.88671875" style="389" bestFit="1" customWidth="1"/>
    <col min="12557" max="12557" width="9.44140625" style="389" bestFit="1" customWidth="1"/>
    <col min="12558" max="12801" width="8.6640625" style="389"/>
    <col min="12802" max="12802" width="13.6640625" style="389" customWidth="1"/>
    <col min="12803" max="12803" width="13.33203125" style="389" customWidth="1"/>
    <col min="12804" max="12804" width="9.109375" style="389" bestFit="1" customWidth="1"/>
    <col min="12805" max="12805" width="9.5546875" style="389" bestFit="1" customWidth="1"/>
    <col min="12806" max="12806" width="9" style="389" customWidth="1"/>
    <col min="12807" max="12807" width="8.88671875" style="389" bestFit="1" customWidth="1"/>
    <col min="12808" max="12809" width="11.44140625" style="389" customWidth="1"/>
    <col min="12810" max="12810" width="9.33203125" style="389" customWidth="1"/>
    <col min="12811" max="12812" width="8.88671875" style="389" bestFit="1" customWidth="1"/>
    <col min="12813" max="12813" width="9.44140625" style="389" bestFit="1" customWidth="1"/>
    <col min="12814" max="13057" width="8.6640625" style="389"/>
    <col min="13058" max="13058" width="13.6640625" style="389" customWidth="1"/>
    <col min="13059" max="13059" width="13.33203125" style="389" customWidth="1"/>
    <col min="13060" max="13060" width="9.109375" style="389" bestFit="1" customWidth="1"/>
    <col min="13061" max="13061" width="9.5546875" style="389" bestFit="1" customWidth="1"/>
    <col min="13062" max="13062" width="9" style="389" customWidth="1"/>
    <col min="13063" max="13063" width="8.88671875" style="389" bestFit="1" customWidth="1"/>
    <col min="13064" max="13065" width="11.44140625" style="389" customWidth="1"/>
    <col min="13066" max="13066" width="9.33203125" style="389" customWidth="1"/>
    <col min="13067" max="13068" width="8.88671875" style="389" bestFit="1" customWidth="1"/>
    <col min="13069" max="13069" width="9.44140625" style="389" bestFit="1" customWidth="1"/>
    <col min="13070" max="13313" width="8.6640625" style="389"/>
    <col min="13314" max="13314" width="13.6640625" style="389" customWidth="1"/>
    <col min="13315" max="13315" width="13.33203125" style="389" customWidth="1"/>
    <col min="13316" max="13316" width="9.109375" style="389" bestFit="1" customWidth="1"/>
    <col min="13317" max="13317" width="9.5546875" style="389" bestFit="1" customWidth="1"/>
    <col min="13318" max="13318" width="9" style="389" customWidth="1"/>
    <col min="13319" max="13319" width="8.88671875" style="389" bestFit="1" customWidth="1"/>
    <col min="13320" max="13321" width="11.44140625" style="389" customWidth="1"/>
    <col min="13322" max="13322" width="9.33203125" style="389" customWidth="1"/>
    <col min="13323" max="13324" width="8.88671875" style="389" bestFit="1" customWidth="1"/>
    <col min="13325" max="13325" width="9.44140625" style="389" bestFit="1" customWidth="1"/>
    <col min="13326" max="13569" width="8.6640625" style="389"/>
    <col min="13570" max="13570" width="13.6640625" style="389" customWidth="1"/>
    <col min="13571" max="13571" width="13.33203125" style="389" customWidth="1"/>
    <col min="13572" max="13572" width="9.109375" style="389" bestFit="1" customWidth="1"/>
    <col min="13573" max="13573" width="9.5546875" style="389" bestFit="1" customWidth="1"/>
    <col min="13574" max="13574" width="9" style="389" customWidth="1"/>
    <col min="13575" max="13575" width="8.88671875" style="389" bestFit="1" customWidth="1"/>
    <col min="13576" max="13577" width="11.44140625" style="389" customWidth="1"/>
    <col min="13578" max="13578" width="9.33203125" style="389" customWidth="1"/>
    <col min="13579" max="13580" width="8.88671875" style="389" bestFit="1" customWidth="1"/>
    <col min="13581" max="13581" width="9.44140625" style="389" bestFit="1" customWidth="1"/>
    <col min="13582" max="13825" width="8.6640625" style="389"/>
    <col min="13826" max="13826" width="13.6640625" style="389" customWidth="1"/>
    <col min="13827" max="13827" width="13.33203125" style="389" customWidth="1"/>
    <col min="13828" max="13828" width="9.109375" style="389" bestFit="1" customWidth="1"/>
    <col min="13829" max="13829" width="9.5546875" style="389" bestFit="1" customWidth="1"/>
    <col min="13830" max="13830" width="9" style="389" customWidth="1"/>
    <col min="13831" max="13831" width="8.88671875" style="389" bestFit="1" customWidth="1"/>
    <col min="13832" max="13833" width="11.44140625" style="389" customWidth="1"/>
    <col min="13834" max="13834" width="9.33203125" style="389" customWidth="1"/>
    <col min="13835" max="13836" width="8.88671875" style="389" bestFit="1" customWidth="1"/>
    <col min="13837" max="13837" width="9.44140625" style="389" bestFit="1" customWidth="1"/>
    <col min="13838" max="14081" width="8.6640625" style="389"/>
    <col min="14082" max="14082" width="13.6640625" style="389" customWidth="1"/>
    <col min="14083" max="14083" width="13.33203125" style="389" customWidth="1"/>
    <col min="14084" max="14084" width="9.109375" style="389" bestFit="1" customWidth="1"/>
    <col min="14085" max="14085" width="9.5546875" style="389" bestFit="1" customWidth="1"/>
    <col min="14086" max="14086" width="9" style="389" customWidth="1"/>
    <col min="14087" max="14087" width="8.88671875" style="389" bestFit="1" customWidth="1"/>
    <col min="14088" max="14089" width="11.44140625" style="389" customWidth="1"/>
    <col min="14090" max="14090" width="9.33203125" style="389" customWidth="1"/>
    <col min="14091" max="14092" width="8.88671875" style="389" bestFit="1" customWidth="1"/>
    <col min="14093" max="14093" width="9.44140625" style="389" bestFit="1" customWidth="1"/>
    <col min="14094" max="14337" width="8.6640625" style="389"/>
    <col min="14338" max="14338" width="13.6640625" style="389" customWidth="1"/>
    <col min="14339" max="14339" width="13.33203125" style="389" customWidth="1"/>
    <col min="14340" max="14340" width="9.109375" style="389" bestFit="1" customWidth="1"/>
    <col min="14341" max="14341" width="9.5546875" style="389" bestFit="1" customWidth="1"/>
    <col min="14342" max="14342" width="9" style="389" customWidth="1"/>
    <col min="14343" max="14343" width="8.88671875" style="389" bestFit="1" customWidth="1"/>
    <col min="14344" max="14345" width="11.44140625" style="389" customWidth="1"/>
    <col min="14346" max="14346" width="9.33203125" style="389" customWidth="1"/>
    <col min="14347" max="14348" width="8.88671875" style="389" bestFit="1" customWidth="1"/>
    <col min="14349" max="14349" width="9.44140625" style="389" bestFit="1" customWidth="1"/>
    <col min="14350" max="14593" width="8.6640625" style="389"/>
    <col min="14594" max="14594" width="13.6640625" style="389" customWidth="1"/>
    <col min="14595" max="14595" width="13.33203125" style="389" customWidth="1"/>
    <col min="14596" max="14596" width="9.109375" style="389" bestFit="1" customWidth="1"/>
    <col min="14597" max="14597" width="9.5546875" style="389" bestFit="1" customWidth="1"/>
    <col min="14598" max="14598" width="9" style="389" customWidth="1"/>
    <col min="14599" max="14599" width="8.88671875" style="389" bestFit="1" customWidth="1"/>
    <col min="14600" max="14601" width="11.44140625" style="389" customWidth="1"/>
    <col min="14602" max="14602" width="9.33203125" style="389" customWidth="1"/>
    <col min="14603" max="14604" width="8.88671875" style="389" bestFit="1" customWidth="1"/>
    <col min="14605" max="14605" width="9.44140625" style="389" bestFit="1" customWidth="1"/>
    <col min="14606" max="14849" width="8.6640625" style="389"/>
    <col min="14850" max="14850" width="13.6640625" style="389" customWidth="1"/>
    <col min="14851" max="14851" width="13.33203125" style="389" customWidth="1"/>
    <col min="14852" max="14852" width="9.109375" style="389" bestFit="1" customWidth="1"/>
    <col min="14853" max="14853" width="9.5546875" style="389" bestFit="1" customWidth="1"/>
    <col min="14854" max="14854" width="9" style="389" customWidth="1"/>
    <col min="14855" max="14855" width="8.88671875" style="389" bestFit="1" customWidth="1"/>
    <col min="14856" max="14857" width="11.44140625" style="389" customWidth="1"/>
    <col min="14858" max="14858" width="9.33203125" style="389" customWidth="1"/>
    <col min="14859" max="14860" width="8.88671875" style="389" bestFit="1" customWidth="1"/>
    <col min="14861" max="14861" width="9.44140625" style="389" bestFit="1" customWidth="1"/>
    <col min="14862" max="15105" width="8.6640625" style="389"/>
    <col min="15106" max="15106" width="13.6640625" style="389" customWidth="1"/>
    <col min="15107" max="15107" width="13.33203125" style="389" customWidth="1"/>
    <col min="15108" max="15108" width="9.109375" style="389" bestFit="1" customWidth="1"/>
    <col min="15109" max="15109" width="9.5546875" style="389" bestFit="1" customWidth="1"/>
    <col min="15110" max="15110" width="9" style="389" customWidth="1"/>
    <col min="15111" max="15111" width="8.88671875" style="389" bestFit="1" customWidth="1"/>
    <col min="15112" max="15113" width="11.44140625" style="389" customWidth="1"/>
    <col min="15114" max="15114" width="9.33203125" style="389" customWidth="1"/>
    <col min="15115" max="15116" width="8.88671875" style="389" bestFit="1" customWidth="1"/>
    <col min="15117" max="15117" width="9.44140625" style="389" bestFit="1" customWidth="1"/>
    <col min="15118" max="15361" width="8.6640625" style="389"/>
    <col min="15362" max="15362" width="13.6640625" style="389" customWidth="1"/>
    <col min="15363" max="15363" width="13.33203125" style="389" customWidth="1"/>
    <col min="15364" max="15364" width="9.109375" style="389" bestFit="1" customWidth="1"/>
    <col min="15365" max="15365" width="9.5546875" style="389" bestFit="1" customWidth="1"/>
    <col min="15366" max="15366" width="9" style="389" customWidth="1"/>
    <col min="15367" max="15367" width="8.88671875" style="389" bestFit="1" customWidth="1"/>
    <col min="15368" max="15369" width="11.44140625" style="389" customWidth="1"/>
    <col min="15370" max="15370" width="9.33203125" style="389" customWidth="1"/>
    <col min="15371" max="15372" width="8.88671875" style="389" bestFit="1" customWidth="1"/>
    <col min="15373" max="15373" width="9.44140625" style="389" bestFit="1" customWidth="1"/>
    <col min="15374" max="15617" width="8.6640625" style="389"/>
    <col min="15618" max="15618" width="13.6640625" style="389" customWidth="1"/>
    <col min="15619" max="15619" width="13.33203125" style="389" customWidth="1"/>
    <col min="15620" max="15620" width="9.109375" style="389" bestFit="1" customWidth="1"/>
    <col min="15621" max="15621" width="9.5546875" style="389" bestFit="1" customWidth="1"/>
    <col min="15622" max="15622" width="9" style="389" customWidth="1"/>
    <col min="15623" max="15623" width="8.88671875" style="389" bestFit="1" customWidth="1"/>
    <col min="15624" max="15625" width="11.44140625" style="389" customWidth="1"/>
    <col min="15626" max="15626" width="9.33203125" style="389" customWidth="1"/>
    <col min="15627" max="15628" width="8.88671875" style="389" bestFit="1" customWidth="1"/>
    <col min="15629" max="15629" width="9.44140625" style="389" bestFit="1" customWidth="1"/>
    <col min="15630" max="15873" width="8.6640625" style="389"/>
    <col min="15874" max="15874" width="13.6640625" style="389" customWidth="1"/>
    <col min="15875" max="15875" width="13.33203125" style="389" customWidth="1"/>
    <col min="15876" max="15876" width="9.109375" style="389" bestFit="1" customWidth="1"/>
    <col min="15877" max="15877" width="9.5546875" style="389" bestFit="1" customWidth="1"/>
    <col min="15878" max="15878" width="9" style="389" customWidth="1"/>
    <col min="15879" max="15879" width="8.88671875" style="389" bestFit="1" customWidth="1"/>
    <col min="15880" max="15881" width="11.44140625" style="389" customWidth="1"/>
    <col min="15882" max="15882" width="9.33203125" style="389" customWidth="1"/>
    <col min="15883" max="15884" width="8.88671875" style="389" bestFit="1" customWidth="1"/>
    <col min="15885" max="15885" width="9.44140625" style="389" bestFit="1" customWidth="1"/>
    <col min="15886" max="16129" width="8.6640625" style="389"/>
    <col min="16130" max="16130" width="13.6640625" style="389" customWidth="1"/>
    <col min="16131" max="16131" width="13.33203125" style="389" customWidth="1"/>
    <col min="16132" max="16132" width="9.109375" style="389" bestFit="1" customWidth="1"/>
    <col min="16133" max="16133" width="9.5546875" style="389" bestFit="1" customWidth="1"/>
    <col min="16134" max="16134" width="9" style="389" customWidth="1"/>
    <col min="16135" max="16135" width="8.88671875" style="389" bestFit="1" customWidth="1"/>
    <col min="16136" max="16137" width="11.44140625" style="389" customWidth="1"/>
    <col min="16138" max="16138" width="9.33203125" style="389" customWidth="1"/>
    <col min="16139" max="16140" width="8.88671875" style="389" bestFit="1" customWidth="1"/>
    <col min="16141" max="16141" width="9.44140625" style="389" bestFit="1" customWidth="1"/>
    <col min="16142" max="16384" width="8.6640625" style="389"/>
  </cols>
  <sheetData>
    <row r="3" spans="2:14" ht="24.9" customHeight="1">
      <c r="B3" s="275" t="s">
        <v>128</v>
      </c>
      <c r="C3" s="276">
        <v>4</v>
      </c>
      <c r="D3" s="276" t="s">
        <v>234</v>
      </c>
      <c r="E3" s="277"/>
      <c r="F3" s="277"/>
      <c r="G3" s="277"/>
      <c r="H3" s="277"/>
      <c r="I3" s="277"/>
      <c r="J3" s="277"/>
      <c r="K3" s="277"/>
      <c r="L3" s="277"/>
      <c r="M3" s="277"/>
      <c r="N3" s="277"/>
    </row>
    <row r="4" spans="2:14" ht="15" customHeight="1">
      <c r="B4" s="368"/>
      <c r="C4" s="369" t="s">
        <v>202</v>
      </c>
      <c r="D4" s="280"/>
      <c r="E4" s="281" t="s">
        <v>131</v>
      </c>
      <c r="F4" s="282"/>
      <c r="G4" s="283" t="s">
        <v>132</v>
      </c>
      <c r="H4" s="277"/>
      <c r="I4" s="277"/>
      <c r="J4" s="277"/>
      <c r="K4" s="277"/>
      <c r="L4" s="277"/>
      <c r="M4" s="277"/>
      <c r="N4" s="277"/>
    </row>
    <row r="5" spans="2:14" ht="15" customHeight="1">
      <c r="B5" s="325" t="s">
        <v>133</v>
      </c>
      <c r="C5" s="370">
        <v>74612.751770062459</v>
      </c>
      <c r="D5" s="95">
        <f>C5/$C$5</f>
        <v>1</v>
      </c>
      <c r="E5" s="372" t="e">
        <f>SUM(E6:E7)</f>
        <v>#VALUE!</v>
      </c>
      <c r="F5" s="96" t="e">
        <f>E5/$D$3</f>
        <v>#VALUE!</v>
      </c>
      <c r="G5" s="288" t="s">
        <v>134</v>
      </c>
      <c r="H5" s="277"/>
      <c r="I5" s="289" t="s">
        <v>135</v>
      </c>
      <c r="J5" s="92">
        <v>0.7</v>
      </c>
      <c r="K5" s="373">
        <f>J5*C5</f>
        <v>52228.926239043722</v>
      </c>
      <c r="L5" s="277"/>
      <c r="M5" s="277"/>
      <c r="N5" s="277"/>
    </row>
    <row r="6" spans="2:14" ht="15" customHeight="1">
      <c r="B6" s="374" t="s">
        <v>115</v>
      </c>
      <c r="C6" s="375">
        <f>0.85617724*C5</f>
        <v>63881.739879297187</v>
      </c>
      <c r="D6" s="371">
        <f t="shared" ref="D6:D7" si="0">C6/$C$5</f>
        <v>0.85617723999999995</v>
      </c>
      <c r="E6" s="376" t="e">
        <f>SUMIFS([18]Ram!H4:H1002,[18]Ram!D4:D1002,230,[18]Ram!G4:G1002,"S")</f>
        <v>#VALUE!</v>
      </c>
      <c r="F6" s="97" t="e">
        <f>E6/$D$3</f>
        <v>#VALUE!</v>
      </c>
      <c r="G6" s="377" t="e">
        <f>C6/E6</f>
        <v>#VALUE!</v>
      </c>
      <c r="H6" s="277"/>
      <c r="I6" s="289" t="s">
        <v>136</v>
      </c>
      <c r="J6" s="92">
        <v>0.3</v>
      </c>
      <c r="K6" s="373">
        <f>J6*C5</f>
        <v>22383.825531018738</v>
      </c>
      <c r="L6" s="277"/>
      <c r="M6" s="277"/>
      <c r="N6" s="277"/>
    </row>
    <row r="7" spans="2:14" ht="15" customHeight="1">
      <c r="B7" s="378" t="s">
        <v>137</v>
      </c>
      <c r="C7" s="379">
        <f>0.14382276*C5</f>
        <v>10731.011890765269</v>
      </c>
      <c r="D7" s="98">
        <f t="shared" si="0"/>
        <v>0.14382275999999999</v>
      </c>
      <c r="E7" s="380" t="e">
        <f>SUMIFS([18]Ram!H4:H1002,[18]Ram!D4:D1002,115,[18]Ram!G4:G1002,"S")</f>
        <v>#VALUE!</v>
      </c>
      <c r="F7" s="99" t="e">
        <f>E7/$D$3</f>
        <v>#VALUE!</v>
      </c>
      <c r="G7" s="381" t="e">
        <f>C7/E7</f>
        <v>#VALUE!</v>
      </c>
      <c r="H7" s="277"/>
      <c r="I7" s="277"/>
      <c r="J7" s="277"/>
      <c r="K7" s="277"/>
      <c r="L7" s="277"/>
      <c r="M7" s="277"/>
      <c r="N7" s="277"/>
    </row>
    <row r="8" spans="2:14" ht="15" customHeight="1">
      <c r="B8" s="300"/>
      <c r="C8" s="300"/>
      <c r="D8" s="277"/>
      <c r="E8" s="277"/>
      <c r="F8" s="277"/>
      <c r="G8" s="277"/>
      <c r="H8" s="277"/>
      <c r="I8" s="390" t="s">
        <v>233</v>
      </c>
      <c r="J8" s="277"/>
      <c r="K8" s="277"/>
      <c r="L8" s="277"/>
      <c r="M8" s="277"/>
      <c r="N8" s="303">
        <v>9386.7942793774564</v>
      </c>
    </row>
    <row r="9" spans="2:14" ht="15" customHeight="1">
      <c r="B9" s="319" t="s">
        <v>138</v>
      </c>
      <c r="C9" s="370">
        <v>19568.134245231824</v>
      </c>
      <c r="D9" s="91">
        <v>1</v>
      </c>
      <c r="E9" s="382" t="e">
        <f>SUMIFS([18]Ram!H4:H1002,[18]Ram!D4:D1002,230,[18]Ram!G4:G1002,"SD")</f>
        <v>#VALUE!</v>
      </c>
      <c r="F9" s="91">
        <v>1</v>
      </c>
      <c r="G9" s="383" t="e">
        <f>IF(C9&gt;0,C9/E9,0)</f>
        <v>#VALUE!</v>
      </c>
      <c r="H9" s="277" t="s">
        <v>139</v>
      </c>
      <c r="I9" s="277"/>
      <c r="J9" s="277"/>
      <c r="K9" s="277"/>
      <c r="L9" s="277"/>
      <c r="M9" s="277"/>
      <c r="N9" s="277"/>
    </row>
    <row r="10" spans="2:14" ht="15" customHeight="1">
      <c r="B10" s="277"/>
      <c r="C10" s="277"/>
      <c r="D10" s="277"/>
      <c r="E10" s="277"/>
      <c r="F10" s="277"/>
      <c r="G10" s="277"/>
      <c r="H10" s="277"/>
      <c r="I10" s="277"/>
      <c r="J10" s="277"/>
      <c r="K10" s="277"/>
      <c r="L10" s="277"/>
      <c r="M10" s="277"/>
      <c r="N10" s="277"/>
    </row>
    <row r="11" spans="2:14" ht="15" customHeight="1">
      <c r="B11" s="306" t="s">
        <v>272</v>
      </c>
      <c r="C11" s="277"/>
      <c r="D11" s="277"/>
      <c r="E11" s="277"/>
      <c r="F11" s="277"/>
      <c r="G11" s="277"/>
      <c r="H11" s="277"/>
      <c r="I11" s="277"/>
      <c r="J11" s="277"/>
      <c r="K11" s="277"/>
      <c r="L11" s="277"/>
      <c r="M11" s="277"/>
      <c r="N11" s="277"/>
    </row>
    <row r="12" spans="2:14" ht="15" customHeight="1">
      <c r="B12" s="307" t="s">
        <v>140</v>
      </c>
      <c r="C12" s="308" t="s">
        <v>20</v>
      </c>
      <c r="D12" s="309" t="s">
        <v>21</v>
      </c>
      <c r="E12" s="309" t="s">
        <v>22</v>
      </c>
      <c r="F12" s="309" t="s">
        <v>23</v>
      </c>
      <c r="G12" s="309" t="s">
        <v>24</v>
      </c>
      <c r="H12" s="309" t="s">
        <v>25</v>
      </c>
      <c r="I12" s="309" t="s">
        <v>26</v>
      </c>
      <c r="J12" s="309" t="s">
        <v>27</v>
      </c>
      <c r="K12" s="309" t="s">
        <v>28</v>
      </c>
      <c r="L12" s="310" t="s">
        <v>29</v>
      </c>
      <c r="M12" s="311" t="s">
        <v>16</v>
      </c>
      <c r="N12" s="277"/>
    </row>
    <row r="13" spans="2:14" ht="15" customHeight="1">
      <c r="B13" s="312" t="s">
        <v>141</v>
      </c>
      <c r="C13" s="384">
        <f>E19</f>
        <v>260.2</v>
      </c>
      <c r="D13" s="384">
        <f>E26</f>
        <v>537.77</v>
      </c>
      <c r="E13" s="384">
        <f>E33</f>
        <v>173.34399999999999</v>
      </c>
      <c r="F13" s="384">
        <f>E44</f>
        <v>435.47300000000001</v>
      </c>
      <c r="G13" s="384">
        <f>E74</f>
        <v>395.54999999999995</v>
      </c>
      <c r="H13" s="384">
        <f>E89</f>
        <v>105.8</v>
      </c>
      <c r="I13" s="384">
        <f>E94</f>
        <v>188.76</v>
      </c>
      <c r="J13" s="384">
        <f>E99</f>
        <v>260</v>
      </c>
      <c r="K13" s="384">
        <f>E102</f>
        <v>1462.4</v>
      </c>
      <c r="L13" s="384">
        <f>E112</f>
        <v>254.02999999999997</v>
      </c>
      <c r="M13" s="385">
        <f>SUM(C13:L13)</f>
        <v>4073.3270000000002</v>
      </c>
      <c r="N13" s="386">
        <f>SUM(E19:E115)-E19-E26-E33-E44-E74-E89-E94-E99-E102-E112</f>
        <v>4073.3270000000002</v>
      </c>
    </row>
    <row r="14" spans="2:14" ht="15" customHeight="1">
      <c r="B14" s="316" t="s">
        <v>142</v>
      </c>
      <c r="C14" s="387">
        <f>K19</f>
        <v>29.75</v>
      </c>
      <c r="D14" s="387">
        <f>K24</f>
        <v>0</v>
      </c>
      <c r="E14" s="387">
        <f>K26</f>
        <v>0.08</v>
      </c>
      <c r="F14" s="387">
        <f>K30</f>
        <v>93.85</v>
      </c>
      <c r="G14" s="387">
        <f>K36</f>
        <v>192.7</v>
      </c>
      <c r="H14" s="387">
        <f>K45</f>
        <v>127.96000000000001</v>
      </c>
      <c r="I14" s="387">
        <f>K51</f>
        <v>1133.8700000000006</v>
      </c>
      <c r="J14" s="387">
        <f>K65</f>
        <v>1.74</v>
      </c>
      <c r="K14" s="387">
        <f>K69</f>
        <v>183.947</v>
      </c>
      <c r="L14" s="387">
        <f>K76</f>
        <v>44.989999999999995</v>
      </c>
      <c r="M14" s="388">
        <f>SUM(C14:L14)</f>
        <v>1808.8870000000004</v>
      </c>
      <c r="N14" s="386">
        <f>SUM(K19:K80)-K19-K24-K26-K30-K36-K45-K51-K65-K69-K76</f>
        <v>1808.8869999999995</v>
      </c>
    </row>
    <row r="15" spans="2:14" ht="15" customHeight="1">
      <c r="B15" s="277"/>
      <c r="C15" s="277"/>
      <c r="D15" s="277"/>
      <c r="E15" s="277"/>
      <c r="F15" s="277"/>
      <c r="G15" s="277"/>
      <c r="H15" s="277"/>
      <c r="I15" s="277"/>
      <c r="J15" s="277"/>
      <c r="K15" s="277"/>
      <c r="L15" s="277"/>
      <c r="M15" s="277"/>
      <c r="N15" s="277"/>
    </row>
    <row r="16" spans="2:14" ht="15" customHeight="1">
      <c r="B16" s="277"/>
      <c r="C16" s="277"/>
      <c r="D16" s="277"/>
      <c r="E16" s="277"/>
      <c r="F16" s="277"/>
      <c r="G16" s="277"/>
      <c r="H16" s="277"/>
      <c r="I16" s="277"/>
      <c r="J16" s="277"/>
      <c r="K16" s="277"/>
      <c r="L16" s="277"/>
      <c r="M16" s="277"/>
      <c r="N16" s="277"/>
    </row>
    <row r="17" spans="2:14" ht="15" customHeight="1">
      <c r="B17" s="306" t="s">
        <v>143</v>
      </c>
      <c r="C17" s="319"/>
      <c r="D17" s="319"/>
      <c r="E17" s="319"/>
      <c r="F17" s="319"/>
      <c r="G17" s="319"/>
      <c r="H17" s="320" t="s">
        <v>144</v>
      </c>
      <c r="I17" s="319"/>
      <c r="J17" s="319"/>
      <c r="K17" s="319"/>
      <c r="L17" s="319"/>
      <c r="M17" s="319"/>
      <c r="N17" s="277"/>
    </row>
    <row r="18" spans="2:14" ht="26.4">
      <c r="B18" s="321" t="s">
        <v>145</v>
      </c>
      <c r="C18" s="322"/>
      <c r="D18" s="323" t="s">
        <v>146</v>
      </c>
      <c r="E18" s="324" t="s">
        <v>141</v>
      </c>
      <c r="F18" s="324" t="s">
        <v>147</v>
      </c>
      <c r="G18" s="277"/>
      <c r="H18" s="325" t="s">
        <v>145</v>
      </c>
      <c r="I18" s="326"/>
      <c r="J18" s="327" t="s">
        <v>146</v>
      </c>
      <c r="K18" s="328" t="s">
        <v>142</v>
      </c>
      <c r="L18" s="277"/>
      <c r="M18" s="277"/>
      <c r="N18" s="277"/>
    </row>
    <row r="19" spans="2:14" ht="15" customHeight="1">
      <c r="B19" s="329">
        <v>1</v>
      </c>
      <c r="C19" s="330"/>
      <c r="D19" s="331"/>
      <c r="E19" s="332">
        <f>SUM(E20:E25)</f>
        <v>260.2</v>
      </c>
      <c r="F19" s="333"/>
      <c r="G19" s="277"/>
      <c r="H19" s="329">
        <v>1</v>
      </c>
      <c r="I19" s="330"/>
      <c r="J19" s="331"/>
      <c r="K19" s="332">
        <f>SUM(K20:K23)</f>
        <v>29.75</v>
      </c>
      <c r="L19" s="277"/>
      <c r="M19" s="277"/>
      <c r="N19" s="277"/>
    </row>
    <row r="20" spans="2:14" ht="15" customHeight="1">
      <c r="B20" s="334" t="s">
        <v>83</v>
      </c>
      <c r="C20" s="277"/>
      <c r="D20" s="335">
        <v>6014</v>
      </c>
      <c r="E20" s="336">
        <v>88.2</v>
      </c>
      <c r="F20" s="337">
        <v>0</v>
      </c>
      <c r="G20" s="277"/>
      <c r="H20" s="338" t="s">
        <v>91</v>
      </c>
      <c r="I20" s="277"/>
      <c r="J20" s="335"/>
      <c r="K20" s="336"/>
      <c r="L20" s="277"/>
      <c r="M20" s="277"/>
      <c r="N20" s="277"/>
    </row>
    <row r="21" spans="2:14" ht="15" customHeight="1">
      <c r="B21" s="334" t="s">
        <v>31</v>
      </c>
      <c r="C21" s="277"/>
      <c r="D21" s="335">
        <v>6014</v>
      </c>
      <c r="E21" s="336">
        <v>56</v>
      </c>
      <c r="F21" s="337">
        <v>0</v>
      </c>
      <c r="G21" s="277"/>
      <c r="H21" s="334" t="s">
        <v>148</v>
      </c>
      <c r="I21" s="277"/>
      <c r="J21" s="335">
        <v>6014</v>
      </c>
      <c r="K21" s="336">
        <v>28.85</v>
      </c>
      <c r="L21" s="277"/>
      <c r="M21" s="277"/>
      <c r="N21" s="277"/>
    </row>
    <row r="22" spans="2:14" ht="15" customHeight="1">
      <c r="B22" s="334" t="s">
        <v>149</v>
      </c>
      <c r="C22" s="277"/>
      <c r="D22" s="335">
        <v>6014</v>
      </c>
      <c r="E22" s="336">
        <v>10</v>
      </c>
      <c r="F22" s="337">
        <v>0</v>
      </c>
      <c r="G22" s="277"/>
      <c r="H22" s="334" t="s">
        <v>150</v>
      </c>
      <c r="I22" s="277"/>
      <c r="J22" s="335">
        <v>6014</v>
      </c>
      <c r="K22" s="336">
        <v>0.9</v>
      </c>
      <c r="L22" s="277"/>
      <c r="M22" s="277"/>
      <c r="N22" s="277"/>
    </row>
    <row r="23" spans="2:14" ht="15" customHeight="1">
      <c r="B23" s="334" t="s">
        <v>203</v>
      </c>
      <c r="C23" s="277"/>
      <c r="D23" s="335">
        <v>6014</v>
      </c>
      <c r="E23" s="336">
        <v>56</v>
      </c>
      <c r="F23" s="337">
        <v>0</v>
      </c>
      <c r="G23" s="277"/>
      <c r="H23" s="355" t="s">
        <v>151</v>
      </c>
      <c r="I23" s="342"/>
      <c r="J23" s="343"/>
      <c r="K23" s="344"/>
      <c r="L23" s="277"/>
      <c r="M23" s="277"/>
      <c r="N23" s="277"/>
    </row>
    <row r="24" spans="2:14" ht="15" customHeight="1">
      <c r="B24" s="334" t="s">
        <v>221</v>
      </c>
      <c r="C24" s="277"/>
      <c r="D24" s="335">
        <v>6014</v>
      </c>
      <c r="E24" s="336">
        <v>50</v>
      </c>
      <c r="F24" s="337">
        <v>0</v>
      </c>
      <c r="G24" s="277"/>
      <c r="H24" s="345">
        <v>2</v>
      </c>
      <c r="I24" s="346"/>
      <c r="J24" s="347"/>
      <c r="K24" s="348">
        <f>SUM(K25)</f>
        <v>0</v>
      </c>
      <c r="L24" s="277"/>
      <c r="M24" s="277"/>
      <c r="N24" s="277"/>
    </row>
    <row r="25" spans="2:14" ht="15" customHeight="1">
      <c r="B25" s="355" t="s">
        <v>151</v>
      </c>
      <c r="C25" s="342"/>
      <c r="D25" s="335"/>
      <c r="E25" s="336"/>
      <c r="F25" s="337"/>
      <c r="G25" s="277"/>
      <c r="H25" s="355" t="s">
        <v>151</v>
      </c>
      <c r="I25" s="342"/>
      <c r="J25" s="343"/>
      <c r="K25" s="344"/>
      <c r="L25" s="277"/>
      <c r="M25" s="277"/>
      <c r="N25" s="277"/>
    </row>
    <row r="26" spans="2:14" ht="15" customHeight="1">
      <c r="B26" s="345">
        <v>2</v>
      </c>
      <c r="C26" s="346"/>
      <c r="D26" s="347"/>
      <c r="E26" s="348">
        <f>SUM(E27:E32)</f>
        <v>537.77</v>
      </c>
      <c r="F26" s="349"/>
      <c r="G26" s="277"/>
      <c r="H26" s="329">
        <v>3</v>
      </c>
      <c r="I26" s="330"/>
      <c r="J26" s="331"/>
      <c r="K26" s="332">
        <f>SUM(K27:K29)</f>
        <v>0.08</v>
      </c>
      <c r="L26" s="277"/>
      <c r="M26" s="277"/>
      <c r="N26" s="277"/>
    </row>
    <row r="27" spans="2:14" ht="15" customHeight="1">
      <c r="B27" s="334" t="s">
        <v>32</v>
      </c>
      <c r="C27" s="277"/>
      <c r="D27" s="335">
        <v>6096</v>
      </c>
      <c r="E27" s="336">
        <v>300</v>
      </c>
      <c r="F27" s="337">
        <v>0</v>
      </c>
      <c r="G27" s="277"/>
      <c r="H27" s="338" t="s">
        <v>91</v>
      </c>
      <c r="I27" s="277"/>
      <c r="J27" s="335"/>
      <c r="K27" s="336"/>
      <c r="L27" s="277"/>
      <c r="M27" s="277"/>
      <c r="N27" s="277"/>
    </row>
    <row r="28" spans="2:14" ht="15" customHeight="1">
      <c r="B28" s="334" t="s">
        <v>33</v>
      </c>
      <c r="C28" s="277"/>
      <c r="D28" s="335">
        <v>6179</v>
      </c>
      <c r="E28" s="336">
        <v>120</v>
      </c>
      <c r="F28" s="337">
        <v>0</v>
      </c>
      <c r="G28" s="277"/>
      <c r="H28" s="334" t="s">
        <v>92</v>
      </c>
      <c r="I28" s="277"/>
      <c r="J28" s="335">
        <v>6087</v>
      </c>
      <c r="K28" s="336">
        <v>0.08</v>
      </c>
      <c r="L28" s="277"/>
      <c r="M28" s="277"/>
      <c r="N28" s="277"/>
    </row>
    <row r="29" spans="2:14" ht="15" customHeight="1">
      <c r="B29" s="334" t="s">
        <v>76</v>
      </c>
      <c r="C29" s="277"/>
      <c r="D29" s="335">
        <v>6179</v>
      </c>
      <c r="E29" s="336">
        <v>25.34</v>
      </c>
      <c r="F29" s="337">
        <v>0</v>
      </c>
      <c r="G29" s="277"/>
      <c r="H29" s="355" t="s">
        <v>151</v>
      </c>
      <c r="I29" s="342"/>
      <c r="J29" s="335"/>
      <c r="K29" s="336"/>
      <c r="L29" s="277"/>
      <c r="M29" s="277"/>
      <c r="N29" s="277"/>
    </row>
    <row r="30" spans="2:14" ht="15" customHeight="1">
      <c r="B30" s="334" t="s">
        <v>77</v>
      </c>
      <c r="C30" s="277"/>
      <c r="D30" s="335">
        <v>6179</v>
      </c>
      <c r="E30" s="336">
        <v>33.770000000000003</v>
      </c>
      <c r="F30" s="337">
        <v>0</v>
      </c>
      <c r="G30" s="277"/>
      <c r="H30" s="345">
        <v>4</v>
      </c>
      <c r="I30" s="346"/>
      <c r="J30" s="347"/>
      <c r="K30" s="348">
        <f>SUM(K31:K35)</f>
        <v>93.85</v>
      </c>
      <c r="L30" s="277"/>
      <c r="M30" s="277"/>
      <c r="N30" s="277"/>
    </row>
    <row r="31" spans="2:14" ht="15" customHeight="1">
      <c r="B31" s="334" t="s">
        <v>78</v>
      </c>
      <c r="C31" s="277"/>
      <c r="D31" s="335">
        <v>6179</v>
      </c>
      <c r="E31" s="336">
        <v>58.66</v>
      </c>
      <c r="F31" s="337">
        <v>0</v>
      </c>
      <c r="G31" s="277"/>
      <c r="H31" s="338" t="s">
        <v>91</v>
      </c>
      <c r="I31" s="277"/>
      <c r="J31" s="335"/>
      <c r="K31" s="336"/>
      <c r="L31" s="277"/>
      <c r="M31" s="277"/>
      <c r="N31" s="277"/>
    </row>
    <row r="32" spans="2:14" ht="15" customHeight="1">
      <c r="B32" s="355" t="s">
        <v>151</v>
      </c>
      <c r="C32" s="342"/>
      <c r="D32" s="343"/>
      <c r="E32" s="344"/>
      <c r="F32" s="353"/>
      <c r="G32" s="277"/>
      <c r="H32" s="334" t="s">
        <v>153</v>
      </c>
      <c r="I32" s="277"/>
      <c r="J32" s="335">
        <v>6013</v>
      </c>
      <c r="K32" s="336">
        <v>10.68</v>
      </c>
      <c r="L32" s="277"/>
      <c r="M32" s="277"/>
      <c r="N32" s="277"/>
    </row>
    <row r="33" spans="2:14" ht="15" customHeight="1">
      <c r="B33" s="329">
        <v>3</v>
      </c>
      <c r="C33" s="330"/>
      <c r="D33" s="331"/>
      <c r="E33" s="332">
        <f>SUM(E34:E43)</f>
        <v>173.34399999999999</v>
      </c>
      <c r="F33" s="333"/>
      <c r="G33" s="277"/>
      <c r="H33" s="334" t="s">
        <v>154</v>
      </c>
      <c r="I33" s="277"/>
      <c r="J33" s="335">
        <v>6013</v>
      </c>
      <c r="K33" s="336">
        <v>60.8</v>
      </c>
      <c r="L33" s="277"/>
      <c r="M33" s="277"/>
      <c r="N33" s="277"/>
    </row>
    <row r="34" spans="2:14" ht="15" customHeight="1">
      <c r="B34" s="334" t="s">
        <v>152</v>
      </c>
      <c r="C34" s="277"/>
      <c r="D34" s="335">
        <v>6088</v>
      </c>
      <c r="E34" s="336">
        <v>47.2</v>
      </c>
      <c r="F34" s="337">
        <v>0</v>
      </c>
      <c r="G34" s="277"/>
      <c r="H34" s="334" t="s">
        <v>204</v>
      </c>
      <c r="I34" s="277"/>
      <c r="J34" s="335">
        <v>6012</v>
      </c>
      <c r="K34" s="336">
        <v>22.37</v>
      </c>
      <c r="L34" s="277"/>
      <c r="M34" s="277"/>
      <c r="N34" s="277"/>
    </row>
    <row r="35" spans="2:14" ht="15" customHeight="1">
      <c r="B35" s="334" t="s">
        <v>34</v>
      </c>
      <c r="C35" s="277"/>
      <c r="D35" s="335">
        <v>6092</v>
      </c>
      <c r="E35" s="336">
        <v>54.76</v>
      </c>
      <c r="F35" s="337">
        <v>0</v>
      </c>
      <c r="G35" s="277"/>
      <c r="H35" s="355" t="s">
        <v>151</v>
      </c>
      <c r="I35" s="342"/>
      <c r="J35" s="343"/>
      <c r="K35" s="344"/>
      <c r="L35" s="277"/>
      <c r="M35" s="277"/>
      <c r="N35" s="277"/>
    </row>
    <row r="36" spans="2:14" ht="15" customHeight="1">
      <c r="B36" s="334" t="s">
        <v>80</v>
      </c>
      <c r="C36" s="277"/>
      <c r="D36" s="335">
        <v>6300</v>
      </c>
      <c r="E36" s="336">
        <v>19.75</v>
      </c>
      <c r="F36" s="337">
        <v>0</v>
      </c>
      <c r="G36" s="277"/>
      <c r="H36" s="329">
        <v>5</v>
      </c>
      <c r="I36" s="330"/>
      <c r="J36" s="331"/>
      <c r="K36" s="332">
        <f>SUM(K37:K44)</f>
        <v>192.7</v>
      </c>
      <c r="L36" s="277"/>
      <c r="M36" s="277"/>
      <c r="N36" s="277"/>
    </row>
    <row r="37" spans="2:14" ht="15" customHeight="1">
      <c r="B37" s="334" t="s">
        <v>79</v>
      </c>
      <c r="C37" s="277"/>
      <c r="D37" s="335">
        <v>6300</v>
      </c>
      <c r="E37" s="336">
        <v>15.5</v>
      </c>
      <c r="F37" s="337">
        <v>0</v>
      </c>
      <c r="G37" s="277"/>
      <c r="H37" s="338" t="s">
        <v>156</v>
      </c>
      <c r="I37" s="277"/>
      <c r="J37" s="335"/>
      <c r="K37" s="336"/>
      <c r="L37" s="277"/>
      <c r="M37" s="277"/>
      <c r="N37" s="277"/>
    </row>
    <row r="38" spans="2:14" ht="15" customHeight="1">
      <c r="B38" s="334" t="s">
        <v>155</v>
      </c>
      <c r="C38" s="277"/>
      <c r="D38" s="335">
        <v>6300</v>
      </c>
      <c r="E38" s="336">
        <v>8</v>
      </c>
      <c r="F38" s="337">
        <v>0</v>
      </c>
      <c r="G38" s="277"/>
      <c r="H38" s="334" t="s">
        <v>158</v>
      </c>
      <c r="I38" s="277"/>
      <c r="J38" s="335" t="s">
        <v>205</v>
      </c>
      <c r="K38" s="336">
        <v>190.75</v>
      </c>
      <c r="L38" s="277"/>
      <c r="M38" s="277"/>
      <c r="N38" s="277"/>
    </row>
    <row r="39" spans="2:14" ht="15" customHeight="1">
      <c r="B39" s="334" t="s">
        <v>157</v>
      </c>
      <c r="C39" s="277"/>
      <c r="D39" s="335">
        <v>6300</v>
      </c>
      <c r="E39" s="336">
        <v>9.86</v>
      </c>
      <c r="F39" s="337">
        <v>0</v>
      </c>
      <c r="G39" s="277"/>
      <c r="H39" s="338" t="s">
        <v>159</v>
      </c>
      <c r="I39" s="277"/>
      <c r="J39" s="335"/>
      <c r="K39" s="336"/>
      <c r="L39" s="277"/>
      <c r="M39" s="277"/>
      <c r="N39" s="277"/>
    </row>
    <row r="40" spans="2:14" ht="15" customHeight="1">
      <c r="B40" s="334" t="s">
        <v>206</v>
      </c>
      <c r="C40" s="277"/>
      <c r="D40" s="335">
        <v>6300</v>
      </c>
      <c r="E40" s="336">
        <v>10</v>
      </c>
      <c r="F40" s="337">
        <v>0</v>
      </c>
      <c r="G40" s="277"/>
      <c r="H40" s="334" t="s">
        <v>160</v>
      </c>
      <c r="I40" s="277"/>
      <c r="J40" s="335">
        <v>6009</v>
      </c>
      <c r="K40" s="336">
        <v>1.1299999999999999</v>
      </c>
      <c r="L40" s="277"/>
      <c r="M40" s="277"/>
      <c r="N40" s="277"/>
    </row>
    <row r="41" spans="2:14" ht="15" customHeight="1">
      <c r="B41" s="334" t="s">
        <v>207</v>
      </c>
      <c r="C41" s="277"/>
      <c r="D41" s="335">
        <v>6300</v>
      </c>
      <c r="E41" s="336">
        <v>4.0999999999999996</v>
      </c>
      <c r="F41" s="337">
        <v>0</v>
      </c>
      <c r="G41" s="277"/>
      <c r="H41" s="334" t="s">
        <v>161</v>
      </c>
      <c r="I41" s="277"/>
      <c r="J41" s="335">
        <v>6009</v>
      </c>
      <c r="K41" s="336">
        <v>0.82</v>
      </c>
      <c r="L41" s="277"/>
      <c r="M41" s="277"/>
      <c r="N41" s="277"/>
    </row>
    <row r="42" spans="2:14" ht="15" customHeight="1">
      <c r="B42" s="334" t="s">
        <v>235</v>
      </c>
      <c r="C42" s="277"/>
      <c r="D42" s="335">
        <v>6300</v>
      </c>
      <c r="E42" s="336">
        <v>4.1740000000000004</v>
      </c>
      <c r="F42" s="337">
        <v>7</v>
      </c>
      <c r="G42" s="277"/>
      <c r="H42" s="338" t="s">
        <v>208</v>
      </c>
      <c r="I42" s="277"/>
      <c r="J42" s="335"/>
      <c r="K42" s="336"/>
      <c r="L42" s="277"/>
      <c r="M42" s="277"/>
      <c r="N42" s="277"/>
    </row>
    <row r="43" spans="2:14" ht="15" customHeight="1">
      <c r="B43" s="355" t="s">
        <v>151</v>
      </c>
      <c r="C43" s="342"/>
      <c r="D43" s="335"/>
      <c r="E43" s="336"/>
      <c r="F43" s="337"/>
      <c r="G43" s="277"/>
      <c r="H43" s="334" t="s">
        <v>209</v>
      </c>
      <c r="I43" s="277"/>
      <c r="J43" s="335">
        <v>6008</v>
      </c>
      <c r="K43" s="336">
        <v>0</v>
      </c>
      <c r="L43" s="277"/>
      <c r="M43" s="277"/>
      <c r="N43" s="277"/>
    </row>
    <row r="44" spans="2:14" ht="15" customHeight="1">
      <c r="B44" s="345">
        <v>4</v>
      </c>
      <c r="C44" s="346"/>
      <c r="D44" s="347"/>
      <c r="E44" s="348">
        <f>SUM(E45:E73)</f>
        <v>435.47300000000001</v>
      </c>
      <c r="F44" s="349"/>
      <c r="G44" s="277"/>
      <c r="H44" s="355" t="s">
        <v>151</v>
      </c>
      <c r="I44" s="342"/>
      <c r="J44" s="335"/>
      <c r="K44" s="336"/>
      <c r="L44" s="277"/>
      <c r="M44" s="277"/>
      <c r="N44" s="277"/>
    </row>
    <row r="45" spans="2:14" ht="15" customHeight="1">
      <c r="B45" s="334" t="s">
        <v>82</v>
      </c>
      <c r="C45" s="277"/>
      <c r="D45" s="335">
        <v>6381</v>
      </c>
      <c r="E45" s="336">
        <v>10</v>
      </c>
      <c r="F45" s="337">
        <v>0</v>
      </c>
      <c r="G45" s="277"/>
      <c r="H45" s="345">
        <v>6</v>
      </c>
      <c r="I45" s="346"/>
      <c r="J45" s="347"/>
      <c r="K45" s="348">
        <f>SUM(K46:K50)</f>
        <v>127.96000000000001</v>
      </c>
      <c r="L45" s="277"/>
      <c r="M45" s="277"/>
      <c r="N45" s="277"/>
    </row>
    <row r="46" spans="2:14" ht="15" customHeight="1">
      <c r="B46" s="334" t="s">
        <v>162</v>
      </c>
      <c r="C46" s="277"/>
      <c r="D46" s="335">
        <v>6381</v>
      </c>
      <c r="E46" s="336">
        <v>3.5</v>
      </c>
      <c r="F46" s="337">
        <v>0</v>
      </c>
      <c r="G46" s="277"/>
      <c r="H46" s="338" t="s">
        <v>156</v>
      </c>
      <c r="I46" s="277"/>
      <c r="J46" s="335"/>
      <c r="K46" s="336"/>
      <c r="L46" s="277"/>
      <c r="M46" s="277"/>
      <c r="N46" s="277"/>
    </row>
    <row r="47" spans="2:14" ht="15" customHeight="1">
      <c r="B47" s="334" t="s">
        <v>88</v>
      </c>
      <c r="C47" s="277"/>
      <c r="D47" s="335">
        <v>6013</v>
      </c>
      <c r="E47" s="336">
        <v>6.12</v>
      </c>
      <c r="F47" s="337">
        <v>0</v>
      </c>
      <c r="G47" s="277"/>
      <c r="H47" s="334" t="s">
        <v>164</v>
      </c>
      <c r="I47" s="277"/>
      <c r="J47" s="335">
        <v>6005</v>
      </c>
      <c r="K47" s="336">
        <v>126.73</v>
      </c>
      <c r="L47" s="277"/>
      <c r="M47" s="277"/>
      <c r="N47" s="277"/>
    </row>
    <row r="48" spans="2:14" ht="15" customHeight="1">
      <c r="B48" s="334" t="s">
        <v>163</v>
      </c>
      <c r="C48" s="277"/>
      <c r="D48" s="335">
        <v>6013</v>
      </c>
      <c r="E48" s="336">
        <v>4.95</v>
      </c>
      <c r="F48" s="337">
        <v>0</v>
      </c>
      <c r="G48" s="277"/>
      <c r="H48" s="338" t="s">
        <v>159</v>
      </c>
      <c r="I48" s="277"/>
      <c r="J48" s="335"/>
      <c r="K48" s="336"/>
      <c r="L48" s="277"/>
      <c r="M48" s="277"/>
      <c r="N48" s="277"/>
    </row>
    <row r="49" spans="2:14" ht="15" customHeight="1">
      <c r="B49" s="334" t="s">
        <v>81</v>
      </c>
      <c r="C49" s="277"/>
      <c r="D49" s="335">
        <v>6381</v>
      </c>
      <c r="E49" s="336">
        <v>20</v>
      </c>
      <c r="F49" s="337">
        <v>0</v>
      </c>
      <c r="G49" s="277"/>
      <c r="H49" s="334" t="s">
        <v>160</v>
      </c>
      <c r="I49" s="277"/>
      <c r="J49" s="335">
        <v>6005</v>
      </c>
      <c r="K49" s="336">
        <v>1.23</v>
      </c>
      <c r="L49" s="277"/>
      <c r="M49" s="277"/>
      <c r="N49" s="277"/>
    </row>
    <row r="50" spans="2:14" ht="15" customHeight="1">
      <c r="B50" s="334" t="s">
        <v>165</v>
      </c>
      <c r="C50" s="277"/>
      <c r="D50" s="335">
        <v>6381</v>
      </c>
      <c r="E50" s="336">
        <v>12.89</v>
      </c>
      <c r="F50" s="337">
        <v>0</v>
      </c>
      <c r="G50" s="277"/>
      <c r="H50" s="355" t="s">
        <v>151</v>
      </c>
      <c r="I50" s="342"/>
      <c r="J50" s="343"/>
      <c r="K50" s="344"/>
      <c r="L50" s="277"/>
      <c r="M50" s="277"/>
      <c r="N50" s="277"/>
    </row>
    <row r="51" spans="2:14" ht="15" customHeight="1">
      <c r="B51" s="334" t="s">
        <v>166</v>
      </c>
      <c r="C51" s="277"/>
      <c r="D51" s="335">
        <v>6386</v>
      </c>
      <c r="E51" s="336">
        <v>14</v>
      </c>
      <c r="F51" s="337">
        <v>0</v>
      </c>
      <c r="G51" s="277"/>
      <c r="H51" s="329">
        <v>7</v>
      </c>
      <c r="I51" s="330"/>
      <c r="J51" s="331"/>
      <c r="K51" s="332">
        <f>SUM(K52:K64)</f>
        <v>1133.8700000000006</v>
      </c>
      <c r="L51" s="277"/>
      <c r="M51" s="277"/>
      <c r="N51" s="277"/>
    </row>
    <row r="52" spans="2:14" ht="15" customHeight="1">
      <c r="B52" s="334" t="s">
        <v>0</v>
      </c>
      <c r="C52" s="277"/>
      <c r="D52" s="354" t="s">
        <v>167</v>
      </c>
      <c r="E52" s="336">
        <v>2.5</v>
      </c>
      <c r="F52" s="337">
        <v>0</v>
      </c>
      <c r="G52" s="277"/>
      <c r="H52" s="338" t="s">
        <v>169</v>
      </c>
      <c r="I52" s="277"/>
      <c r="J52" s="335"/>
      <c r="K52" s="336"/>
      <c r="L52" s="277"/>
      <c r="M52" s="277"/>
      <c r="N52" s="277"/>
    </row>
    <row r="53" spans="2:14" ht="15" customHeight="1">
      <c r="B53" s="334" t="s">
        <v>1</v>
      </c>
      <c r="C53" s="277"/>
      <c r="D53" s="354" t="s">
        <v>167</v>
      </c>
      <c r="E53" s="336">
        <v>3.12</v>
      </c>
      <c r="F53" s="337">
        <v>0</v>
      </c>
      <c r="G53" s="277"/>
      <c r="H53" s="334" t="s">
        <v>171</v>
      </c>
      <c r="I53" s="277"/>
      <c r="J53" s="335" t="s">
        <v>172</v>
      </c>
      <c r="K53" s="336">
        <v>581.08000000000004</v>
      </c>
      <c r="L53" s="277"/>
      <c r="M53" s="277"/>
      <c r="N53" s="277"/>
    </row>
    <row r="54" spans="2:14" ht="15" customHeight="1">
      <c r="B54" s="334" t="s">
        <v>168</v>
      </c>
      <c r="C54" s="277"/>
      <c r="D54" s="335">
        <v>6381</v>
      </c>
      <c r="E54" s="336">
        <v>10</v>
      </c>
      <c r="F54" s="337">
        <v>0</v>
      </c>
      <c r="G54" s="277"/>
      <c r="H54" s="338" t="s">
        <v>156</v>
      </c>
      <c r="I54" s="277"/>
      <c r="J54" s="335"/>
      <c r="K54" s="336"/>
      <c r="L54" s="277"/>
      <c r="M54" s="277"/>
      <c r="N54" s="277"/>
    </row>
    <row r="55" spans="2:14" ht="15" customHeight="1">
      <c r="B55" s="334" t="s">
        <v>170</v>
      </c>
      <c r="C55" s="277"/>
      <c r="D55" s="335">
        <v>6381</v>
      </c>
      <c r="E55" s="336">
        <v>10</v>
      </c>
      <c r="F55" s="337">
        <v>0</v>
      </c>
      <c r="G55" s="277"/>
      <c r="H55" s="334" t="s">
        <v>171</v>
      </c>
      <c r="I55" s="277"/>
      <c r="J55" s="335" t="s">
        <v>210</v>
      </c>
      <c r="K55" s="336">
        <v>514.35</v>
      </c>
      <c r="L55" s="277"/>
      <c r="M55" s="277"/>
      <c r="N55" s="277"/>
    </row>
    <row r="56" spans="2:14" ht="15" customHeight="1">
      <c r="B56" s="334" t="s">
        <v>173</v>
      </c>
      <c r="C56" s="277"/>
      <c r="D56" s="335">
        <v>6013</v>
      </c>
      <c r="E56" s="336">
        <v>8.4</v>
      </c>
      <c r="F56" s="337">
        <v>0</v>
      </c>
      <c r="G56" s="277"/>
      <c r="H56" s="338" t="s">
        <v>159</v>
      </c>
      <c r="I56" s="277"/>
      <c r="J56" s="335"/>
      <c r="K56" s="336"/>
      <c r="L56" s="277"/>
      <c r="M56" s="277"/>
      <c r="N56" s="277"/>
    </row>
    <row r="57" spans="2:14" ht="15" customHeight="1">
      <c r="B57" s="334" t="s">
        <v>84</v>
      </c>
      <c r="C57" s="277"/>
      <c r="D57" s="335">
        <v>6690</v>
      </c>
      <c r="E57" s="336">
        <v>33.299999999999997</v>
      </c>
      <c r="F57" s="337">
        <v>0</v>
      </c>
      <c r="G57" s="277"/>
      <c r="H57" s="334" t="s">
        <v>174</v>
      </c>
      <c r="I57" s="277"/>
      <c r="J57" s="335">
        <v>6002</v>
      </c>
      <c r="K57" s="336">
        <v>2.9</v>
      </c>
      <c r="L57" s="277"/>
      <c r="M57" s="277"/>
      <c r="N57" s="277"/>
    </row>
    <row r="58" spans="2:14" ht="15" customHeight="1">
      <c r="B58" s="334" t="s">
        <v>85</v>
      </c>
      <c r="C58" s="277"/>
      <c r="D58" s="335">
        <v>6690</v>
      </c>
      <c r="E58" s="336">
        <v>49.95</v>
      </c>
      <c r="F58" s="337">
        <v>0</v>
      </c>
      <c r="G58" s="277"/>
      <c r="H58" s="334" t="s">
        <v>175</v>
      </c>
      <c r="I58" s="277"/>
      <c r="J58" s="335">
        <v>6024</v>
      </c>
      <c r="K58" s="336">
        <v>24.65</v>
      </c>
      <c r="L58" s="277"/>
      <c r="M58" s="277"/>
      <c r="N58" s="277"/>
    </row>
    <row r="59" spans="2:14" ht="15" customHeight="1">
      <c r="B59" s="334" t="s">
        <v>86</v>
      </c>
      <c r="C59" s="277"/>
      <c r="D59" s="335">
        <v>6690</v>
      </c>
      <c r="E59" s="336">
        <v>69.48</v>
      </c>
      <c r="F59" s="337">
        <v>0</v>
      </c>
      <c r="G59" s="277"/>
      <c r="H59" s="334" t="s">
        <v>93</v>
      </c>
      <c r="I59" s="277"/>
      <c r="J59" s="335">
        <v>6002</v>
      </c>
      <c r="K59" s="336">
        <v>0.64</v>
      </c>
      <c r="L59" s="277"/>
      <c r="M59" s="277"/>
      <c r="N59" s="277"/>
    </row>
    <row r="60" spans="2:14" ht="15" customHeight="1">
      <c r="B60" s="334" t="s">
        <v>211</v>
      </c>
      <c r="C60" s="277"/>
      <c r="D60" s="335">
        <v>6386</v>
      </c>
      <c r="E60" s="336">
        <v>4.0999999999999996</v>
      </c>
      <c r="F60" s="337">
        <v>0</v>
      </c>
      <c r="G60" s="277"/>
      <c r="H60" s="334" t="s">
        <v>178</v>
      </c>
      <c r="I60" s="277"/>
      <c r="J60" s="335">
        <v>6002</v>
      </c>
      <c r="K60" s="336">
        <v>0.93</v>
      </c>
      <c r="L60" s="277"/>
      <c r="M60" s="277"/>
      <c r="N60" s="277"/>
    </row>
    <row r="61" spans="2:14" ht="15" customHeight="1">
      <c r="B61" s="334" t="s">
        <v>87</v>
      </c>
      <c r="C61" s="277"/>
      <c r="D61" s="335">
        <v>6860</v>
      </c>
      <c r="E61" s="336">
        <v>28.56</v>
      </c>
      <c r="F61" s="337">
        <v>0</v>
      </c>
      <c r="G61" s="277"/>
      <c r="H61" s="334" t="s">
        <v>179</v>
      </c>
      <c r="I61" s="277"/>
      <c r="J61" s="335">
        <v>6018</v>
      </c>
      <c r="K61" s="336">
        <v>1.22</v>
      </c>
      <c r="L61" s="277"/>
      <c r="M61" s="277"/>
      <c r="N61" s="277"/>
    </row>
    <row r="62" spans="2:14" ht="15" customHeight="1">
      <c r="B62" s="334" t="s">
        <v>212</v>
      </c>
      <c r="C62" s="277"/>
      <c r="D62" s="335">
        <v>6013</v>
      </c>
      <c r="E62" s="336">
        <v>8.58</v>
      </c>
      <c r="F62" s="337">
        <v>0</v>
      </c>
      <c r="G62" s="277"/>
      <c r="H62" s="334" t="s">
        <v>160</v>
      </c>
      <c r="I62" s="277"/>
      <c r="J62" s="335">
        <v>6002</v>
      </c>
      <c r="K62" s="336">
        <v>7.16</v>
      </c>
      <c r="L62" s="277"/>
      <c r="M62" s="277"/>
      <c r="N62" s="277"/>
    </row>
    <row r="63" spans="2:14" ht="15" customHeight="1">
      <c r="B63" s="334" t="s">
        <v>213</v>
      </c>
      <c r="C63" s="277"/>
      <c r="D63" s="335">
        <v>6760</v>
      </c>
      <c r="E63" s="336">
        <v>26</v>
      </c>
      <c r="F63" s="337">
        <v>0</v>
      </c>
      <c r="G63" s="277"/>
      <c r="H63" s="334" t="s">
        <v>181</v>
      </c>
      <c r="I63" s="277"/>
      <c r="J63" s="335">
        <v>6002</v>
      </c>
      <c r="K63" s="336">
        <v>0.94</v>
      </c>
      <c r="L63" s="277"/>
      <c r="M63" s="277"/>
      <c r="N63" s="277"/>
    </row>
    <row r="64" spans="2:14" ht="15" customHeight="1">
      <c r="B64" s="334" t="s">
        <v>214</v>
      </c>
      <c r="C64" s="277"/>
      <c r="D64" s="335">
        <v>6760</v>
      </c>
      <c r="E64" s="336">
        <v>6</v>
      </c>
      <c r="F64" s="337">
        <v>0</v>
      </c>
      <c r="G64" s="277"/>
      <c r="H64" s="355" t="s">
        <v>151</v>
      </c>
      <c r="I64" s="342"/>
      <c r="J64" s="343"/>
      <c r="K64" s="344"/>
      <c r="L64" s="277"/>
      <c r="M64" s="277"/>
      <c r="N64" s="277"/>
    </row>
    <row r="65" spans="2:14" ht="15" customHeight="1">
      <c r="B65" s="334" t="s">
        <v>215</v>
      </c>
      <c r="C65" s="277"/>
      <c r="D65" s="335">
        <v>6760</v>
      </c>
      <c r="E65" s="336">
        <v>12.3</v>
      </c>
      <c r="F65" s="337">
        <v>0</v>
      </c>
      <c r="G65" s="277"/>
      <c r="H65" s="345">
        <v>8</v>
      </c>
      <c r="I65" s="346"/>
      <c r="J65" s="347"/>
      <c r="K65" s="348">
        <f>SUM(K66:K68)</f>
        <v>1.74</v>
      </c>
      <c r="L65" s="277"/>
      <c r="M65" s="277"/>
      <c r="N65" s="277"/>
    </row>
    <row r="66" spans="2:14" ht="15" customHeight="1">
      <c r="B66" s="334" t="s">
        <v>216</v>
      </c>
      <c r="C66" s="277"/>
      <c r="D66" s="335">
        <v>6386</v>
      </c>
      <c r="E66" s="336">
        <v>4.6429999999999998</v>
      </c>
      <c r="F66" s="337">
        <v>0</v>
      </c>
      <c r="G66" s="277"/>
      <c r="H66" s="338" t="s">
        <v>169</v>
      </c>
      <c r="I66" s="277"/>
      <c r="J66" s="335"/>
      <c r="K66" s="336"/>
      <c r="L66" s="277"/>
      <c r="M66" s="277"/>
      <c r="N66" s="277"/>
    </row>
    <row r="67" spans="2:14" ht="15" customHeight="1">
      <c r="B67" s="334" t="s">
        <v>222</v>
      </c>
      <c r="C67" s="277"/>
      <c r="D67" s="335">
        <v>6386</v>
      </c>
      <c r="E67" s="336">
        <v>5</v>
      </c>
      <c r="F67" s="337">
        <v>0</v>
      </c>
      <c r="G67" s="277"/>
      <c r="H67" s="334" t="s">
        <v>186</v>
      </c>
      <c r="I67" s="277"/>
      <c r="J67" s="335">
        <v>6100</v>
      </c>
      <c r="K67" s="336">
        <v>1.74</v>
      </c>
      <c r="L67" s="277"/>
      <c r="M67" s="277"/>
      <c r="N67" s="277"/>
    </row>
    <row r="68" spans="2:14" ht="15" customHeight="1">
      <c r="B68" s="334" t="s">
        <v>223</v>
      </c>
      <c r="C68" s="277"/>
      <c r="D68" s="335">
        <v>6760</v>
      </c>
      <c r="E68" s="336">
        <v>14.4</v>
      </c>
      <c r="F68" s="337">
        <v>0</v>
      </c>
      <c r="G68" s="277"/>
      <c r="H68" s="355" t="s">
        <v>151</v>
      </c>
      <c r="I68" s="342"/>
      <c r="J68" s="343"/>
      <c r="K68" s="344"/>
      <c r="L68" s="277"/>
      <c r="M68" s="277"/>
      <c r="N68" s="277"/>
    </row>
    <row r="69" spans="2:14" ht="15" customHeight="1">
      <c r="B69" s="334" t="s">
        <v>224</v>
      </c>
      <c r="C69" s="277"/>
      <c r="D69" s="335">
        <v>6760</v>
      </c>
      <c r="E69" s="336">
        <v>15.08</v>
      </c>
      <c r="F69" s="337">
        <v>0</v>
      </c>
      <c r="G69" s="277"/>
      <c r="H69" s="329">
        <v>9</v>
      </c>
      <c r="I69" s="330"/>
      <c r="J69" s="331"/>
      <c r="K69" s="332">
        <f>SUM(K70:K75)</f>
        <v>183.947</v>
      </c>
      <c r="L69" s="277"/>
      <c r="M69" s="277"/>
      <c r="N69" s="277"/>
    </row>
    <row r="70" spans="2:14" ht="15" customHeight="1">
      <c r="B70" s="334" t="s">
        <v>225</v>
      </c>
      <c r="C70" s="277"/>
      <c r="D70" s="335">
        <v>6760</v>
      </c>
      <c r="E70" s="336">
        <v>9.3000000000000007</v>
      </c>
      <c r="F70" s="337">
        <v>0</v>
      </c>
      <c r="G70" s="277"/>
      <c r="H70" s="338" t="s">
        <v>169</v>
      </c>
      <c r="I70" s="277"/>
      <c r="J70" s="335"/>
      <c r="K70" s="336"/>
      <c r="L70" s="277"/>
      <c r="M70" s="277"/>
      <c r="N70" s="277"/>
    </row>
    <row r="71" spans="2:14" ht="15" customHeight="1">
      <c r="B71" s="334" t="s">
        <v>226</v>
      </c>
      <c r="C71" s="277"/>
      <c r="D71" s="335">
        <v>6386</v>
      </c>
      <c r="E71" s="336">
        <v>8.8000000000000007</v>
      </c>
      <c r="F71" s="337">
        <v>0</v>
      </c>
      <c r="G71" s="277"/>
      <c r="H71" s="334" t="s">
        <v>30</v>
      </c>
      <c r="I71" s="277"/>
      <c r="J71" s="335">
        <v>6059</v>
      </c>
      <c r="K71" s="336">
        <v>174.46</v>
      </c>
      <c r="L71" s="277"/>
      <c r="M71" s="277"/>
      <c r="N71" s="277"/>
    </row>
    <row r="72" spans="2:14" ht="15" customHeight="1">
      <c r="B72" s="334" t="s">
        <v>227</v>
      </c>
      <c r="C72" s="277"/>
      <c r="D72" s="335">
        <v>6182</v>
      </c>
      <c r="E72" s="336">
        <v>34.5</v>
      </c>
      <c r="F72" s="337">
        <v>0</v>
      </c>
      <c r="G72" s="277"/>
      <c r="H72" s="338" t="s">
        <v>159</v>
      </c>
      <c r="I72" s="277"/>
      <c r="J72" s="335"/>
      <c r="K72" s="336"/>
      <c r="L72" s="277"/>
      <c r="M72" s="277"/>
      <c r="N72" s="277"/>
    </row>
    <row r="73" spans="2:14" ht="15" customHeight="1">
      <c r="B73" s="355" t="s">
        <v>151</v>
      </c>
      <c r="C73" s="342"/>
      <c r="D73" s="343"/>
      <c r="E73" s="344"/>
      <c r="F73" s="353"/>
      <c r="G73" s="277"/>
      <c r="H73" s="334" t="s">
        <v>189</v>
      </c>
      <c r="I73" s="277"/>
      <c r="J73" s="335">
        <v>6170</v>
      </c>
      <c r="K73" s="336">
        <v>8.5</v>
      </c>
      <c r="L73" s="277"/>
      <c r="M73" s="277"/>
      <c r="N73" s="277"/>
    </row>
    <row r="74" spans="2:14" ht="15" customHeight="1">
      <c r="B74" s="329">
        <v>5</v>
      </c>
      <c r="C74" s="330"/>
      <c r="D74" s="331"/>
      <c r="E74" s="332">
        <f>SUM(E75:E88)</f>
        <v>395.54999999999995</v>
      </c>
      <c r="F74" s="333"/>
      <c r="G74" s="277"/>
      <c r="H74" s="334" t="s">
        <v>160</v>
      </c>
      <c r="I74" s="277"/>
      <c r="J74" s="335">
        <v>6059</v>
      </c>
      <c r="K74" s="336">
        <v>0.98699999999999999</v>
      </c>
      <c r="L74" s="277"/>
      <c r="M74" s="277"/>
      <c r="N74" s="277"/>
    </row>
    <row r="75" spans="2:14" ht="15" customHeight="1">
      <c r="B75" s="334" t="s">
        <v>176</v>
      </c>
      <c r="C75" s="277"/>
      <c r="D75" s="335">
        <v>6010</v>
      </c>
      <c r="E75" s="336">
        <v>5.35</v>
      </c>
      <c r="F75" s="337">
        <v>0</v>
      </c>
      <c r="G75" s="277"/>
      <c r="H75" s="355" t="s">
        <v>151</v>
      </c>
      <c r="I75" s="342"/>
      <c r="J75" s="343"/>
      <c r="K75" s="344"/>
      <c r="L75" s="277"/>
      <c r="M75" s="277"/>
      <c r="N75" s="277"/>
    </row>
    <row r="76" spans="2:14" ht="15" customHeight="1">
      <c r="B76" s="334" t="s">
        <v>177</v>
      </c>
      <c r="C76" s="277"/>
      <c r="D76" s="335">
        <v>6010</v>
      </c>
      <c r="E76" s="336">
        <v>5.05</v>
      </c>
      <c r="F76" s="337">
        <v>0</v>
      </c>
      <c r="G76" s="277"/>
      <c r="H76" s="345">
        <v>10</v>
      </c>
      <c r="I76" s="346"/>
      <c r="J76" s="347"/>
      <c r="K76" s="348">
        <f>SUM(K77:K80)</f>
        <v>44.989999999999995</v>
      </c>
      <c r="L76" s="277"/>
      <c r="M76" s="277"/>
      <c r="N76" s="277"/>
    </row>
    <row r="77" spans="2:14" ht="15" customHeight="1">
      <c r="B77" s="334" t="s">
        <v>5</v>
      </c>
      <c r="C77" s="277"/>
      <c r="D77" s="354" t="s">
        <v>167</v>
      </c>
      <c r="E77" s="336">
        <v>6.6</v>
      </c>
      <c r="F77" s="337">
        <v>0</v>
      </c>
      <c r="G77" s="277"/>
      <c r="H77" s="338" t="s">
        <v>191</v>
      </c>
      <c r="I77" s="277"/>
      <c r="J77" s="335"/>
      <c r="K77" s="336"/>
      <c r="L77" s="277"/>
      <c r="M77" s="277"/>
      <c r="N77" s="277"/>
    </row>
    <row r="78" spans="2:14" ht="15" customHeight="1">
      <c r="B78" s="334" t="s">
        <v>35</v>
      </c>
      <c r="C78" s="277"/>
      <c r="D78" s="354" t="s">
        <v>167</v>
      </c>
      <c r="E78" s="336">
        <v>4.5</v>
      </c>
      <c r="F78" s="337">
        <v>0</v>
      </c>
      <c r="G78" s="277"/>
      <c r="H78" s="334" t="s">
        <v>194</v>
      </c>
      <c r="I78" s="277"/>
      <c r="J78" s="335">
        <v>6340</v>
      </c>
      <c r="K78" s="336">
        <v>30.65</v>
      </c>
      <c r="L78" s="277"/>
      <c r="M78" s="277"/>
      <c r="N78" s="277"/>
    </row>
    <row r="79" spans="2:14" ht="15" customHeight="1">
      <c r="B79" s="334" t="s">
        <v>180</v>
      </c>
      <c r="C79" s="277"/>
      <c r="D79" s="354" t="s">
        <v>167</v>
      </c>
      <c r="E79" s="336">
        <v>2.4</v>
      </c>
      <c r="F79" s="337">
        <v>0</v>
      </c>
      <c r="G79" s="277"/>
      <c r="H79" s="334" t="s">
        <v>196</v>
      </c>
      <c r="I79" s="277"/>
      <c r="J79" s="335">
        <v>6261</v>
      </c>
      <c r="K79" s="336">
        <v>14.34</v>
      </c>
      <c r="L79" s="277"/>
      <c r="M79" s="277"/>
      <c r="N79" s="277"/>
    </row>
    <row r="80" spans="2:14" ht="15" customHeight="1">
      <c r="B80" s="334" t="s">
        <v>182</v>
      </c>
      <c r="C80" s="277"/>
      <c r="D80" s="335">
        <v>6430</v>
      </c>
      <c r="E80" s="336">
        <v>100</v>
      </c>
      <c r="F80" s="337">
        <v>0</v>
      </c>
      <c r="G80" s="277"/>
      <c r="H80" s="355" t="s">
        <v>151</v>
      </c>
      <c r="I80" s="342"/>
      <c r="J80" s="343"/>
      <c r="K80" s="344"/>
      <c r="L80" s="277"/>
      <c r="M80" s="277"/>
      <c r="N80" s="277"/>
    </row>
    <row r="81" spans="2:14" ht="15" customHeight="1">
      <c r="B81" s="334" t="s">
        <v>183</v>
      </c>
      <c r="C81" s="277"/>
      <c r="D81" s="335">
        <v>6430</v>
      </c>
      <c r="E81" s="336">
        <v>17.5</v>
      </c>
      <c r="F81" s="337">
        <v>0</v>
      </c>
      <c r="G81" s="277"/>
      <c r="H81" s="277"/>
      <c r="I81" s="277"/>
      <c r="J81" s="277"/>
      <c r="K81" s="277"/>
      <c r="L81" s="277"/>
      <c r="M81" s="277"/>
      <c r="N81" s="277"/>
    </row>
    <row r="82" spans="2:14" ht="15" customHeight="1">
      <c r="B82" s="334" t="s">
        <v>184</v>
      </c>
      <c r="C82" s="277"/>
      <c r="D82" s="335">
        <v>6430</v>
      </c>
      <c r="E82" s="336">
        <v>62.5</v>
      </c>
      <c r="F82" s="337">
        <v>0</v>
      </c>
      <c r="G82" s="277"/>
      <c r="H82" s="277"/>
      <c r="I82" s="277"/>
      <c r="J82" s="277"/>
      <c r="K82" s="277"/>
      <c r="L82" s="277"/>
      <c r="M82" s="277"/>
      <c r="N82" s="277"/>
    </row>
    <row r="83" spans="2:14" ht="15" customHeight="1">
      <c r="B83" s="334" t="s">
        <v>185</v>
      </c>
      <c r="C83" s="277"/>
      <c r="D83" s="335">
        <v>6430</v>
      </c>
      <c r="E83" s="336">
        <v>40</v>
      </c>
      <c r="F83" s="337">
        <v>0</v>
      </c>
      <c r="G83" s="277"/>
      <c r="H83" s="277"/>
      <c r="I83" s="277"/>
      <c r="J83" s="277"/>
      <c r="K83" s="277"/>
      <c r="L83" s="277"/>
      <c r="M83" s="277"/>
      <c r="N83" s="277"/>
    </row>
    <row r="84" spans="2:14" ht="15" customHeight="1">
      <c r="B84" s="334" t="s">
        <v>217</v>
      </c>
      <c r="C84" s="277"/>
      <c r="D84" s="335">
        <v>6008</v>
      </c>
      <c r="E84" s="336">
        <v>25.8</v>
      </c>
      <c r="F84" s="337">
        <v>0</v>
      </c>
      <c r="G84" s="277"/>
      <c r="H84" s="277"/>
      <c r="I84" s="277"/>
      <c r="J84" s="277"/>
      <c r="K84" s="277"/>
      <c r="L84" s="277"/>
      <c r="M84" s="277"/>
      <c r="N84" s="277"/>
    </row>
    <row r="85" spans="2:14" ht="15" customHeight="1">
      <c r="B85" s="334" t="s">
        <v>218</v>
      </c>
      <c r="C85" s="277"/>
      <c r="D85" s="335">
        <v>6010</v>
      </c>
      <c r="E85" s="336">
        <v>9</v>
      </c>
      <c r="F85" s="337">
        <v>0</v>
      </c>
      <c r="G85" s="277"/>
      <c r="H85" s="277"/>
      <c r="I85" s="277"/>
      <c r="J85" s="277"/>
      <c r="K85" s="277"/>
      <c r="L85" s="277"/>
      <c r="M85" s="277"/>
      <c r="N85" s="277"/>
    </row>
    <row r="86" spans="2:14" ht="15" customHeight="1">
      <c r="B86" s="334" t="s">
        <v>228</v>
      </c>
      <c r="C86" s="277"/>
      <c r="D86" s="335">
        <v>6010</v>
      </c>
      <c r="E86" s="336">
        <v>2.02</v>
      </c>
      <c r="F86" s="337">
        <v>0</v>
      </c>
      <c r="G86" s="277"/>
      <c r="H86" s="277"/>
      <c r="I86" s="277"/>
      <c r="J86" s="277"/>
      <c r="K86" s="277"/>
      <c r="L86" s="277"/>
      <c r="M86" s="277"/>
      <c r="N86" s="277"/>
    </row>
    <row r="87" spans="2:14" ht="15" customHeight="1">
      <c r="B87" s="334" t="s">
        <v>229</v>
      </c>
      <c r="C87" s="277"/>
      <c r="D87" s="335">
        <v>6008</v>
      </c>
      <c r="E87" s="336">
        <v>114.83</v>
      </c>
      <c r="F87" s="337">
        <v>0</v>
      </c>
      <c r="G87" s="277"/>
      <c r="H87" s="277"/>
      <c r="I87" s="277"/>
      <c r="J87" s="277"/>
      <c r="K87" s="277"/>
      <c r="L87" s="277"/>
      <c r="M87" s="277"/>
      <c r="N87" s="277"/>
    </row>
    <row r="88" spans="2:14" ht="15" customHeight="1">
      <c r="B88" s="355" t="s">
        <v>151</v>
      </c>
      <c r="C88" s="342"/>
      <c r="D88" s="335"/>
      <c r="E88" s="336"/>
      <c r="F88" s="337"/>
      <c r="G88" s="277"/>
      <c r="H88" s="277"/>
      <c r="I88" s="277"/>
      <c r="J88" s="277"/>
      <c r="K88" s="277"/>
      <c r="L88" s="277"/>
      <c r="M88" s="277"/>
      <c r="N88" s="277"/>
    </row>
    <row r="89" spans="2:14" ht="15" customHeight="1">
      <c r="B89" s="345">
        <v>6</v>
      </c>
      <c r="C89" s="346"/>
      <c r="D89" s="347"/>
      <c r="E89" s="348">
        <f>SUM(E90:E93)</f>
        <v>105.8</v>
      </c>
      <c r="F89" s="349"/>
      <c r="G89" s="277"/>
      <c r="H89" s="277"/>
      <c r="I89" s="277"/>
      <c r="J89" s="277"/>
      <c r="K89" s="277"/>
      <c r="L89" s="277"/>
      <c r="M89" s="277"/>
      <c r="N89" s="277"/>
    </row>
    <row r="90" spans="2:14" ht="15" customHeight="1">
      <c r="B90" s="334" t="s">
        <v>187</v>
      </c>
      <c r="C90" s="277"/>
      <c r="D90" s="335">
        <v>6005</v>
      </c>
      <c r="E90" s="336">
        <v>96</v>
      </c>
      <c r="F90" s="337">
        <v>0</v>
      </c>
      <c r="G90" s="277"/>
      <c r="H90" s="277"/>
      <c r="I90" s="277"/>
      <c r="J90" s="277"/>
      <c r="K90" s="277"/>
      <c r="L90" s="277"/>
      <c r="M90" s="277"/>
      <c r="N90" s="277"/>
    </row>
    <row r="91" spans="2:14" ht="15" customHeight="1">
      <c r="B91" s="334" t="s">
        <v>36</v>
      </c>
      <c r="C91" s="277"/>
      <c r="D91" s="354" t="s">
        <v>167</v>
      </c>
      <c r="E91" s="336">
        <v>5.5</v>
      </c>
      <c r="F91" s="337">
        <v>0</v>
      </c>
      <c r="G91" s="277"/>
      <c r="H91" s="277"/>
      <c r="I91" s="277"/>
      <c r="J91" s="277"/>
      <c r="K91" s="277"/>
      <c r="L91" s="277"/>
      <c r="M91" s="277"/>
      <c r="N91" s="277"/>
    </row>
    <row r="92" spans="2:14" ht="15" customHeight="1">
      <c r="B92" s="334" t="s">
        <v>89</v>
      </c>
      <c r="C92" s="277"/>
      <c r="D92" s="354" t="s">
        <v>167</v>
      </c>
      <c r="E92" s="336">
        <v>4.3</v>
      </c>
      <c r="F92" s="337">
        <v>0</v>
      </c>
      <c r="G92" s="277"/>
      <c r="H92" s="277"/>
      <c r="I92" s="277"/>
      <c r="J92" s="277"/>
      <c r="K92" s="277"/>
      <c r="L92" s="277"/>
      <c r="M92" s="277"/>
      <c r="N92" s="277"/>
    </row>
    <row r="93" spans="2:14" ht="15" customHeight="1">
      <c r="B93" s="355" t="s">
        <v>151</v>
      </c>
      <c r="C93" s="342"/>
      <c r="D93" s="343"/>
      <c r="E93" s="344"/>
      <c r="F93" s="353"/>
      <c r="G93" s="277"/>
      <c r="H93" s="277"/>
      <c r="I93" s="277"/>
      <c r="J93" s="277"/>
      <c r="K93" s="277"/>
      <c r="L93" s="277"/>
      <c r="M93" s="277"/>
      <c r="N93" s="277"/>
    </row>
    <row r="94" spans="2:14" ht="15" customHeight="1">
      <c r="B94" s="329">
        <v>7</v>
      </c>
      <c r="C94" s="330"/>
      <c r="D94" s="331"/>
      <c r="E94" s="332">
        <f>SUM(E95:E98)</f>
        <v>188.76</v>
      </c>
      <c r="F94" s="333"/>
      <c r="G94" s="277"/>
      <c r="H94" s="277"/>
      <c r="I94" s="277"/>
      <c r="J94" s="277"/>
      <c r="K94" s="277"/>
      <c r="L94" s="277"/>
      <c r="M94" s="277"/>
      <c r="N94" s="277"/>
    </row>
    <row r="95" spans="2:14" ht="15" customHeight="1">
      <c r="B95" s="334" t="s">
        <v>37</v>
      </c>
      <c r="C95" s="277"/>
      <c r="D95" s="335">
        <v>6171</v>
      </c>
      <c r="E95" s="336">
        <v>54</v>
      </c>
      <c r="F95" s="337">
        <v>0</v>
      </c>
      <c r="G95" s="277"/>
      <c r="H95" s="277"/>
      <c r="I95" s="277"/>
      <c r="J95" s="277"/>
      <c r="K95" s="277"/>
      <c r="L95" s="277"/>
      <c r="M95" s="277"/>
      <c r="N95" s="277"/>
    </row>
    <row r="96" spans="2:14" ht="15" customHeight="1">
      <c r="B96" s="334" t="s">
        <v>192</v>
      </c>
      <c r="C96" s="277"/>
      <c r="D96" s="335" t="s">
        <v>219</v>
      </c>
      <c r="E96" s="336">
        <v>56</v>
      </c>
      <c r="F96" s="337">
        <v>0</v>
      </c>
      <c r="G96" s="277"/>
      <c r="H96" s="277"/>
      <c r="I96" s="277"/>
      <c r="J96" s="277"/>
      <c r="K96" s="277"/>
      <c r="L96" s="277"/>
      <c r="M96" s="277"/>
      <c r="N96" s="277"/>
    </row>
    <row r="97" spans="2:14" ht="15" customHeight="1">
      <c r="B97" s="334" t="s">
        <v>195</v>
      </c>
      <c r="C97" s="277"/>
      <c r="D97" s="335" t="s">
        <v>219</v>
      </c>
      <c r="E97" s="336">
        <v>78.760000000000005</v>
      </c>
      <c r="F97" s="337">
        <v>0</v>
      </c>
      <c r="G97" s="277"/>
      <c r="H97" s="277"/>
      <c r="I97" s="277"/>
      <c r="J97" s="277"/>
      <c r="K97" s="277"/>
      <c r="L97" s="277"/>
      <c r="M97" s="277"/>
      <c r="N97" s="277"/>
    </row>
    <row r="98" spans="2:14" ht="15" customHeight="1">
      <c r="B98" s="355" t="s">
        <v>151</v>
      </c>
      <c r="C98" s="342"/>
      <c r="D98" s="358"/>
      <c r="E98" s="359"/>
      <c r="F98" s="360"/>
      <c r="G98" s="277"/>
      <c r="H98" s="277"/>
      <c r="I98" s="277"/>
      <c r="J98" s="277"/>
      <c r="K98" s="277"/>
      <c r="L98" s="277"/>
      <c r="M98" s="277"/>
      <c r="N98" s="277"/>
    </row>
    <row r="99" spans="2:14" ht="15" customHeight="1">
      <c r="B99" s="345">
        <v>8</v>
      </c>
      <c r="C99" s="346"/>
      <c r="D99" s="347"/>
      <c r="E99" s="348">
        <f>SUM(E100:E101)</f>
        <v>260</v>
      </c>
      <c r="F99" s="349"/>
      <c r="G99" s="277"/>
      <c r="H99" s="277"/>
      <c r="I99" s="277"/>
      <c r="J99" s="277"/>
      <c r="K99" s="277"/>
      <c r="L99" s="277"/>
      <c r="M99" s="277"/>
      <c r="N99" s="277"/>
    </row>
    <row r="100" spans="2:14" ht="15" customHeight="1">
      <c r="B100" s="334" t="s">
        <v>4</v>
      </c>
      <c r="C100" s="277"/>
      <c r="D100" s="335">
        <v>6100</v>
      </c>
      <c r="E100" s="336">
        <v>260</v>
      </c>
      <c r="F100" s="337">
        <v>0</v>
      </c>
      <c r="G100" s="277"/>
      <c r="H100" s="277"/>
      <c r="I100" s="277"/>
      <c r="J100" s="277"/>
      <c r="K100" s="277"/>
      <c r="L100" s="277"/>
      <c r="M100" s="277"/>
      <c r="N100" s="277"/>
    </row>
    <row r="101" spans="2:14" ht="15" customHeight="1">
      <c r="B101" s="355" t="s">
        <v>151</v>
      </c>
      <c r="C101" s="342"/>
      <c r="D101" s="343"/>
      <c r="E101" s="344"/>
      <c r="F101" s="353"/>
      <c r="G101" s="277"/>
      <c r="H101" s="277"/>
      <c r="I101" s="277"/>
      <c r="J101" s="277"/>
      <c r="K101" s="277"/>
      <c r="L101" s="277"/>
      <c r="M101" s="277"/>
      <c r="N101" s="277"/>
    </row>
    <row r="102" spans="2:14" ht="15" customHeight="1">
      <c r="B102" s="329">
        <v>9</v>
      </c>
      <c r="C102" s="362"/>
      <c r="D102" s="363"/>
      <c r="E102" s="332">
        <f>SUM(E103:E111)</f>
        <v>1462.4</v>
      </c>
      <c r="F102" s="333"/>
      <c r="G102" s="277"/>
      <c r="H102" s="277"/>
      <c r="I102" s="277"/>
      <c r="J102" s="277"/>
      <c r="K102" s="277"/>
      <c r="L102" s="277"/>
      <c r="M102" s="277"/>
      <c r="N102" s="277"/>
    </row>
    <row r="103" spans="2:14" ht="15" customHeight="1">
      <c r="B103" s="334" t="s">
        <v>197</v>
      </c>
      <c r="C103" s="277"/>
      <c r="D103" s="335">
        <v>6059</v>
      </c>
      <c r="E103" s="336">
        <v>160</v>
      </c>
      <c r="F103" s="337">
        <v>0</v>
      </c>
      <c r="G103" s="277"/>
      <c r="H103" s="277"/>
      <c r="I103" s="277"/>
      <c r="J103" s="277"/>
      <c r="K103" s="277"/>
      <c r="L103" s="277"/>
      <c r="M103" s="277"/>
      <c r="N103" s="277"/>
    </row>
    <row r="104" spans="2:14" ht="15" customHeight="1">
      <c r="B104" s="334" t="s">
        <v>198</v>
      </c>
      <c r="C104" s="277"/>
      <c r="D104" s="335">
        <v>6060</v>
      </c>
      <c r="E104" s="336">
        <v>120</v>
      </c>
      <c r="F104" s="337">
        <v>0</v>
      </c>
      <c r="G104" s="277"/>
      <c r="H104" s="277"/>
      <c r="I104" s="277"/>
      <c r="J104" s="277"/>
      <c r="K104" s="277"/>
      <c r="L104" s="277"/>
      <c r="M104" s="277"/>
      <c r="N104" s="277"/>
    </row>
    <row r="105" spans="2:14" ht="15" customHeight="1">
      <c r="B105" s="334" t="s">
        <v>199</v>
      </c>
      <c r="C105" s="277"/>
      <c r="D105" s="335">
        <v>6270</v>
      </c>
      <c r="E105" s="336">
        <v>87</v>
      </c>
      <c r="F105" s="337">
        <v>0</v>
      </c>
      <c r="G105" s="277"/>
      <c r="H105" s="277"/>
      <c r="I105" s="277"/>
      <c r="J105" s="277"/>
      <c r="K105" s="277"/>
      <c r="L105" s="277"/>
      <c r="M105" s="277"/>
      <c r="N105" s="277"/>
    </row>
    <row r="106" spans="2:14" ht="15" customHeight="1">
      <c r="B106" s="334" t="s">
        <v>200</v>
      </c>
      <c r="C106" s="277"/>
      <c r="D106" s="335">
        <v>6290</v>
      </c>
      <c r="E106" s="336">
        <v>150</v>
      </c>
      <c r="F106" s="337">
        <v>0</v>
      </c>
      <c r="G106" s="277"/>
      <c r="H106" s="277"/>
      <c r="I106" s="277"/>
      <c r="J106" s="277"/>
      <c r="K106" s="277"/>
      <c r="L106" s="277"/>
      <c r="M106" s="277"/>
      <c r="N106" s="277"/>
    </row>
    <row r="107" spans="2:14" ht="15" customHeight="1">
      <c r="B107" s="334" t="s">
        <v>90</v>
      </c>
      <c r="C107" s="277"/>
      <c r="D107" s="335">
        <v>6170</v>
      </c>
      <c r="E107" s="336">
        <v>50.4</v>
      </c>
      <c r="F107" s="337">
        <v>0</v>
      </c>
      <c r="G107" s="277"/>
      <c r="H107" s="277"/>
      <c r="I107" s="277"/>
      <c r="J107" s="277"/>
      <c r="K107" s="277"/>
      <c r="L107" s="277"/>
      <c r="M107" s="277"/>
      <c r="N107" s="277"/>
    </row>
    <row r="108" spans="2:14" ht="15" customHeight="1">
      <c r="B108" s="334" t="s">
        <v>230</v>
      </c>
      <c r="C108" s="277"/>
      <c r="D108" s="335">
        <v>6074</v>
      </c>
      <c r="E108" s="336">
        <v>10</v>
      </c>
      <c r="F108" s="337">
        <v>0</v>
      </c>
      <c r="G108" s="277"/>
      <c r="H108" s="277"/>
      <c r="I108" s="277"/>
      <c r="J108" s="277"/>
      <c r="K108" s="277"/>
      <c r="L108" s="277"/>
      <c r="M108" s="277"/>
      <c r="N108" s="277"/>
    </row>
    <row r="109" spans="2:14" ht="15" customHeight="1">
      <c r="B109" s="334" t="s">
        <v>236</v>
      </c>
      <c r="C109" s="277"/>
      <c r="D109" s="335">
        <v>6173</v>
      </c>
      <c r="E109" s="336">
        <v>225</v>
      </c>
      <c r="F109" s="337">
        <v>7</v>
      </c>
      <c r="G109" s="277"/>
      <c r="H109" s="277"/>
      <c r="I109" s="277"/>
      <c r="J109" s="277"/>
      <c r="K109" s="277"/>
      <c r="L109" s="277"/>
      <c r="M109" s="277"/>
      <c r="N109" s="277"/>
    </row>
    <row r="110" spans="2:14" ht="15" customHeight="1">
      <c r="B110" s="334" t="s">
        <v>237</v>
      </c>
      <c r="C110" s="277"/>
      <c r="D110" s="335">
        <v>6429</v>
      </c>
      <c r="E110" s="336">
        <v>660</v>
      </c>
      <c r="F110" s="337">
        <v>7</v>
      </c>
      <c r="G110" s="277"/>
      <c r="H110" s="277"/>
      <c r="I110" s="277"/>
      <c r="J110" s="277"/>
      <c r="K110" s="277"/>
      <c r="L110" s="277"/>
      <c r="M110" s="277"/>
      <c r="N110" s="277"/>
    </row>
    <row r="111" spans="2:14" ht="15" customHeight="1">
      <c r="B111" s="355" t="s">
        <v>151</v>
      </c>
      <c r="C111" s="342"/>
      <c r="D111" s="335"/>
      <c r="E111" s="336"/>
      <c r="F111" s="337"/>
      <c r="G111" s="277"/>
      <c r="H111" s="277"/>
      <c r="I111" s="277"/>
      <c r="J111" s="277"/>
      <c r="K111" s="277"/>
      <c r="L111" s="277"/>
      <c r="M111" s="277"/>
      <c r="N111" s="277"/>
    </row>
    <row r="112" spans="2:14" ht="15" customHeight="1">
      <c r="B112" s="345">
        <v>10</v>
      </c>
      <c r="C112" s="364"/>
      <c r="D112" s="365"/>
      <c r="E112" s="348">
        <f>SUM(E113:E115)</f>
        <v>254.02999999999997</v>
      </c>
      <c r="F112" s="349"/>
      <c r="G112" s="277"/>
      <c r="H112" s="277"/>
      <c r="I112" s="277"/>
      <c r="J112" s="277"/>
      <c r="K112" s="366"/>
      <c r="L112" s="277"/>
      <c r="M112" s="277"/>
      <c r="N112" s="277"/>
    </row>
    <row r="113" spans="2:14" ht="15" customHeight="1">
      <c r="B113" s="334" t="s">
        <v>196</v>
      </c>
      <c r="C113" s="277"/>
      <c r="D113" s="335">
        <v>6263</v>
      </c>
      <c r="E113" s="336">
        <v>222.17</v>
      </c>
      <c r="F113" s="337">
        <v>0</v>
      </c>
      <c r="G113" s="277"/>
      <c r="H113" s="277"/>
      <c r="I113" s="277"/>
      <c r="J113" s="277"/>
      <c r="K113" s="366"/>
      <c r="L113" s="277"/>
      <c r="M113" s="277"/>
      <c r="N113" s="277"/>
    </row>
    <row r="114" spans="2:14" ht="15" customHeight="1">
      <c r="B114" s="334" t="s">
        <v>15</v>
      </c>
      <c r="C114" s="277"/>
      <c r="D114" s="335">
        <v>6261</v>
      </c>
      <c r="E114" s="336">
        <v>31.86</v>
      </c>
      <c r="F114" s="337">
        <v>0</v>
      </c>
      <c r="G114" s="277"/>
      <c r="H114" s="277"/>
      <c r="I114" s="277"/>
      <c r="J114" s="277"/>
      <c r="K114" s="366"/>
      <c r="L114" s="277"/>
      <c r="M114" s="277"/>
      <c r="N114" s="277"/>
    </row>
    <row r="115" spans="2:14" ht="15" customHeight="1">
      <c r="B115" s="355" t="s">
        <v>151</v>
      </c>
      <c r="C115" s="342"/>
      <c r="D115" s="343"/>
      <c r="E115" s="344"/>
      <c r="F115" s="353"/>
      <c r="G115" s="277"/>
      <c r="H115" s="277"/>
      <c r="I115" s="277"/>
      <c r="J115" s="277"/>
      <c r="K115" s="366"/>
      <c r="L115" s="277"/>
      <c r="M115" s="277"/>
      <c r="N115" s="277"/>
    </row>
    <row r="116" spans="2:14" ht="15" customHeight="1">
      <c r="K116" s="391"/>
    </row>
    <row r="117" spans="2:14" ht="15" customHeight="1">
      <c r="K117" s="391"/>
    </row>
    <row r="118" spans="2:14" ht="15" customHeight="1">
      <c r="K118" s="391"/>
    </row>
    <row r="119" spans="2:14" ht="15" customHeight="1">
      <c r="K119" s="391"/>
    </row>
    <row r="120" spans="2:14" ht="15" customHeight="1">
      <c r="K120" s="391"/>
    </row>
    <row r="121" spans="2:14" ht="15" customHeight="1">
      <c r="K121" s="391"/>
    </row>
    <row r="122" spans="2:14" ht="15" customHeight="1">
      <c r="K122" s="391"/>
    </row>
    <row r="123" spans="2:14" ht="15" customHeight="1">
      <c r="K123" s="391"/>
    </row>
    <row r="124" spans="2:14" ht="15" customHeight="1">
      <c r="K124" s="391"/>
    </row>
    <row r="125" spans="2:14" ht="15" customHeight="1">
      <c r="K125" s="391"/>
    </row>
    <row r="126" spans="2:14" ht="15" customHeight="1">
      <c r="K126" s="391"/>
    </row>
    <row r="127" spans="2:14" ht="15" customHeight="1">
      <c r="K127" s="391"/>
    </row>
    <row r="128" spans="2:14" ht="15" customHeight="1">
      <c r="K128" s="391"/>
    </row>
    <row r="129" spans="11:11" ht="15" customHeight="1">
      <c r="K129" s="391"/>
    </row>
    <row r="130" spans="11:11" ht="15" customHeight="1">
      <c r="K130" s="391"/>
    </row>
    <row r="131" spans="11:11" ht="15" customHeight="1">
      <c r="K131" s="391"/>
    </row>
    <row r="132" spans="11:11" ht="15" customHeight="1">
      <c r="K132" s="391"/>
    </row>
    <row r="133" spans="11:11" ht="15" customHeight="1">
      <c r="K133" s="391"/>
    </row>
    <row r="134" spans="11:11" ht="15" customHeight="1">
      <c r="K134" s="391"/>
    </row>
    <row r="135" spans="11:11" ht="15" customHeight="1">
      <c r="K135" s="391"/>
    </row>
    <row r="136" spans="11:11" ht="15" customHeight="1">
      <c r="K136" s="391"/>
    </row>
    <row r="137" spans="11:11" ht="15" customHeight="1">
      <c r="K137" s="391"/>
    </row>
    <row r="138" spans="11:11" ht="15" customHeight="1">
      <c r="K138" s="391"/>
    </row>
    <row r="139" spans="11:11" ht="15" customHeight="1">
      <c r="K139" s="391"/>
    </row>
    <row r="140" spans="11:11" ht="15" customHeight="1">
      <c r="K140" s="391"/>
    </row>
    <row r="141" spans="11:11" ht="15" customHeight="1">
      <c r="K141" s="391"/>
    </row>
    <row r="142" spans="11:11" ht="15" customHeight="1">
      <c r="K142" s="391"/>
    </row>
    <row r="143" spans="11:11" ht="15" customHeight="1">
      <c r="K143" s="391"/>
    </row>
    <row r="144" spans="11:11" ht="15" customHeight="1">
      <c r="K144" s="391"/>
    </row>
    <row r="145" spans="11:11" ht="15" customHeight="1">
      <c r="K145" s="391"/>
    </row>
    <row r="146" spans="11:11" ht="15" customHeight="1">
      <c r="K146" s="391"/>
    </row>
    <row r="147" spans="11:11" ht="15" customHeight="1">
      <c r="K147" s="391"/>
    </row>
    <row r="148" spans="11:11" ht="15" customHeight="1">
      <c r="K148" s="391"/>
    </row>
    <row r="149" spans="11:11" ht="15" customHeight="1">
      <c r="K149" s="391"/>
    </row>
    <row r="150" spans="11:11" ht="15" customHeight="1">
      <c r="K150" s="391"/>
    </row>
    <row r="151" spans="11:11" ht="15" customHeight="1">
      <c r="K151" s="391"/>
    </row>
    <row r="152" spans="11:11" ht="15" customHeight="1">
      <c r="K152" s="391"/>
    </row>
    <row r="153" spans="11:11" ht="15" customHeight="1">
      <c r="K153" s="391"/>
    </row>
    <row r="154" spans="11:11" ht="15" customHeight="1">
      <c r="K154" s="391"/>
    </row>
    <row r="155" spans="11:11" ht="15" customHeight="1">
      <c r="K155" s="391"/>
    </row>
    <row r="156" spans="11:11" ht="15" customHeight="1">
      <c r="K156" s="391"/>
    </row>
    <row r="157" spans="11:11" ht="15" customHeight="1">
      <c r="K157" s="391"/>
    </row>
    <row r="158" spans="11:11" ht="15" customHeight="1">
      <c r="K158" s="391"/>
    </row>
    <row r="159" spans="11:11" ht="15" customHeight="1">
      <c r="K159" s="391"/>
    </row>
    <row r="160" spans="11:11" ht="15" customHeight="1">
      <c r="K160" s="391"/>
    </row>
    <row r="161" spans="11:11" ht="15" customHeight="1">
      <c r="K161" s="391"/>
    </row>
    <row r="162" spans="11:11" ht="15" customHeight="1">
      <c r="K162" s="391"/>
    </row>
    <row r="163" spans="11:11" ht="15" customHeight="1">
      <c r="K163" s="391"/>
    </row>
    <row r="164" spans="11:11" ht="15" customHeight="1">
      <c r="K164" s="391"/>
    </row>
    <row r="165" spans="11:11" ht="15" customHeight="1">
      <c r="K165" s="391"/>
    </row>
    <row r="166" spans="11:11" ht="15" customHeight="1">
      <c r="K166" s="391"/>
    </row>
    <row r="167" spans="11:11" ht="15" customHeight="1">
      <c r="K167" s="391"/>
    </row>
    <row r="168" spans="11:11" ht="15" customHeight="1">
      <c r="K168" s="391"/>
    </row>
    <row r="169" spans="11:11" ht="15" customHeight="1">
      <c r="K169" s="391"/>
    </row>
    <row r="170" spans="11:11" ht="15" customHeight="1">
      <c r="K170" s="391"/>
    </row>
    <row r="171" spans="11:11" ht="15" customHeight="1">
      <c r="K171" s="391"/>
    </row>
    <row r="172" spans="11:11" ht="15" customHeight="1">
      <c r="K172" s="391"/>
    </row>
    <row r="173" spans="11:11" ht="15" customHeight="1">
      <c r="K173" s="391"/>
    </row>
    <row r="174" spans="11:11" ht="15" customHeight="1">
      <c r="K174" s="391"/>
    </row>
    <row r="175" spans="11:11" ht="15" customHeight="1">
      <c r="K175" s="391"/>
    </row>
    <row r="176" spans="11:11" ht="15" customHeight="1">
      <c r="K176" s="391"/>
    </row>
    <row r="177" spans="11:11" ht="15" customHeight="1">
      <c r="K177" s="391"/>
    </row>
    <row r="178" spans="11:11" ht="15" customHeight="1">
      <c r="K178" s="391"/>
    </row>
    <row r="179" spans="11:11" ht="15" customHeight="1">
      <c r="K179" s="391"/>
    </row>
    <row r="180" spans="11:11" ht="15" customHeight="1">
      <c r="K180" s="391"/>
    </row>
    <row r="181" spans="11:11" ht="15" customHeight="1">
      <c r="K181" s="391"/>
    </row>
    <row r="182" spans="11:11" ht="15" customHeight="1">
      <c r="K182" s="391"/>
    </row>
    <row r="183" spans="11:11" ht="15" customHeight="1">
      <c r="K183" s="391"/>
    </row>
    <row r="184" spans="11:11" ht="15" customHeight="1">
      <c r="K184" s="391"/>
    </row>
    <row r="185" spans="11:11" ht="15" customHeight="1">
      <c r="K185" s="391"/>
    </row>
    <row r="186" spans="11:11" ht="15" customHeight="1">
      <c r="K186" s="391"/>
    </row>
    <row r="187" spans="11:11" ht="15" customHeight="1">
      <c r="K187" s="391"/>
    </row>
    <row r="188" spans="11:11" ht="15" customHeight="1">
      <c r="K188" s="391"/>
    </row>
    <row r="189" spans="11:11" ht="15" customHeight="1">
      <c r="K189" s="391"/>
    </row>
    <row r="190" spans="11:11" ht="15" customHeight="1">
      <c r="K190" s="391"/>
    </row>
    <row r="191" spans="11:11" ht="15" customHeight="1">
      <c r="K191" s="391"/>
    </row>
    <row r="192" spans="11:11" ht="15" customHeight="1">
      <c r="K192" s="391"/>
    </row>
    <row r="193" spans="5:11" ht="15" customHeight="1">
      <c r="K193" s="391"/>
    </row>
    <row r="194" spans="5:11" ht="15" customHeight="1">
      <c r="K194" s="391"/>
    </row>
    <row r="195" spans="5:11" ht="15" customHeight="1">
      <c r="K195" s="391"/>
    </row>
    <row r="197" spans="5:11" ht="15" customHeight="1">
      <c r="E197" s="391"/>
    </row>
    <row r="198" spans="5:11" ht="15" customHeight="1">
      <c r="E198" s="391"/>
    </row>
    <row r="199" spans="5:11" ht="15" customHeight="1">
      <c r="E199" s="391"/>
    </row>
    <row r="200" spans="5:11" ht="15" customHeight="1">
      <c r="E200" s="391"/>
    </row>
    <row r="201" spans="5:11" ht="15" customHeight="1">
      <c r="E201" s="391"/>
    </row>
    <row r="202" spans="5:11" ht="15" customHeight="1">
      <c r="E202" s="391"/>
    </row>
    <row r="203" spans="5:11" ht="15" customHeight="1">
      <c r="E203" s="391"/>
    </row>
    <row r="204" spans="5:11" ht="15" customHeight="1">
      <c r="E204" s="391"/>
    </row>
    <row r="205" spans="5:11" ht="15" customHeight="1">
      <c r="E205" s="391"/>
    </row>
    <row r="206" spans="5:11" ht="15" customHeight="1">
      <c r="E206" s="391"/>
    </row>
    <row r="207" spans="5:11" ht="15" customHeight="1">
      <c r="E207" s="391"/>
    </row>
    <row r="208" spans="5:11" ht="15" customHeight="1">
      <c r="E208" s="391"/>
    </row>
    <row r="209" spans="5:11" ht="15" customHeight="1">
      <c r="E209" s="391"/>
    </row>
    <row r="210" spans="5:11" ht="15" customHeight="1">
      <c r="E210" s="391"/>
    </row>
    <row r="211" spans="5:11" ht="15" customHeight="1">
      <c r="E211" s="391"/>
    </row>
    <row r="212" spans="5:11" ht="15" customHeight="1">
      <c r="E212" s="391"/>
    </row>
    <row r="213" spans="5:11" ht="15" customHeight="1">
      <c r="E213" s="391"/>
    </row>
    <row r="214" spans="5:11" ht="15" customHeight="1">
      <c r="E214" s="391"/>
    </row>
    <row r="215" spans="5:11" ht="15" customHeight="1">
      <c r="E215" s="391"/>
      <c r="K215" s="391"/>
    </row>
    <row r="216" spans="5:11" ht="15" customHeight="1">
      <c r="E216" s="391"/>
      <c r="K216" s="391"/>
    </row>
    <row r="217" spans="5:11" ht="15" customHeight="1">
      <c r="E217" s="391"/>
      <c r="K217" s="391"/>
    </row>
    <row r="218" spans="5:11" ht="15" customHeight="1">
      <c r="E218" s="391"/>
      <c r="K218" s="391"/>
    </row>
    <row r="219" spans="5:11" ht="15" customHeight="1">
      <c r="E219" s="391"/>
      <c r="K219" s="391"/>
    </row>
    <row r="220" spans="5:11" ht="15" customHeight="1">
      <c r="E220" s="391"/>
      <c r="K220" s="391"/>
    </row>
    <row r="221" spans="5:11" ht="15" customHeight="1">
      <c r="E221" s="391"/>
      <c r="K221" s="391"/>
    </row>
    <row r="222" spans="5:11" ht="15" customHeight="1">
      <c r="E222" s="391"/>
      <c r="K222" s="391"/>
    </row>
    <row r="223" spans="5:11" ht="15" customHeight="1">
      <c r="E223" s="391"/>
      <c r="K223" s="391"/>
    </row>
    <row r="224" spans="5:11" ht="15" customHeight="1">
      <c r="E224" s="391"/>
      <c r="K224" s="391"/>
    </row>
    <row r="225" spans="5:11" ht="15" customHeight="1">
      <c r="E225" s="391"/>
      <c r="K225" s="391"/>
    </row>
    <row r="226" spans="5:11" ht="15" customHeight="1">
      <c r="E226" s="391"/>
      <c r="K226" s="391"/>
    </row>
    <row r="227" spans="5:11" ht="15" customHeight="1">
      <c r="E227" s="391"/>
      <c r="K227" s="391"/>
    </row>
    <row r="228" spans="5:11" ht="15" customHeight="1">
      <c r="E228" s="391"/>
      <c r="K228" s="391"/>
    </row>
    <row r="229" spans="5:11" ht="15" customHeight="1">
      <c r="E229" s="391"/>
      <c r="K229" s="391"/>
    </row>
    <row r="230" spans="5:11" ht="15" customHeight="1">
      <c r="E230" s="391"/>
      <c r="K230" s="391"/>
    </row>
    <row r="231" spans="5:11" ht="15" customHeight="1">
      <c r="E231" s="391"/>
      <c r="K231" s="391"/>
    </row>
    <row r="232" spans="5:11" ht="15" customHeight="1">
      <c r="E232" s="391"/>
      <c r="K232" s="391"/>
    </row>
    <row r="233" spans="5:11" ht="15" customHeight="1">
      <c r="E233" s="391"/>
      <c r="K233" s="391"/>
    </row>
    <row r="234" spans="5:11" ht="15" customHeight="1">
      <c r="E234" s="391"/>
      <c r="K234" s="391"/>
    </row>
    <row r="235" spans="5:11" ht="15" customHeight="1">
      <c r="E235" s="391"/>
      <c r="K235" s="391"/>
    </row>
    <row r="236" spans="5:11" ht="15" customHeight="1">
      <c r="E236" s="391"/>
      <c r="K236" s="391"/>
    </row>
    <row r="237" spans="5:11" ht="15" customHeight="1">
      <c r="E237" s="391"/>
      <c r="K237" s="391"/>
    </row>
    <row r="238" spans="5:11" ht="15" customHeight="1">
      <c r="E238" s="391"/>
      <c r="K238" s="391"/>
    </row>
    <row r="239" spans="5:11" ht="15" customHeight="1">
      <c r="E239" s="391"/>
      <c r="K239" s="391"/>
    </row>
    <row r="240" spans="5:11" ht="15" customHeight="1">
      <c r="E240" s="391"/>
      <c r="K240" s="391"/>
    </row>
    <row r="241" spans="5:11" ht="15" customHeight="1">
      <c r="E241" s="391"/>
      <c r="K241" s="391"/>
    </row>
    <row r="242" spans="5:11" ht="15" customHeight="1">
      <c r="E242" s="391"/>
      <c r="K242" s="391"/>
    </row>
    <row r="243" spans="5:11" ht="15" customHeight="1">
      <c r="E243" s="391"/>
      <c r="K243" s="391"/>
    </row>
    <row r="244" spans="5:11" ht="15" customHeight="1">
      <c r="E244" s="391"/>
      <c r="K244" s="391"/>
    </row>
    <row r="245" spans="5:11" ht="15" customHeight="1">
      <c r="E245" s="391"/>
      <c r="K245" s="391"/>
    </row>
    <row r="246" spans="5:11" ht="15" customHeight="1">
      <c r="E246" s="391"/>
      <c r="K246" s="391"/>
    </row>
    <row r="247" spans="5:11" ht="15" customHeight="1">
      <c r="E247" s="391"/>
      <c r="K247" s="391"/>
    </row>
    <row r="248" spans="5:11" ht="15" customHeight="1">
      <c r="E248" s="391"/>
      <c r="K248" s="391"/>
    </row>
    <row r="249" spans="5:11" ht="15" customHeight="1">
      <c r="E249" s="391"/>
      <c r="K249" s="391"/>
    </row>
    <row r="250" spans="5:11" ht="15" customHeight="1">
      <c r="E250" s="391"/>
      <c r="K250" s="391"/>
    </row>
    <row r="251" spans="5:11" ht="15" customHeight="1">
      <c r="E251" s="391"/>
      <c r="K251" s="391"/>
    </row>
    <row r="252" spans="5:11" ht="15" customHeight="1">
      <c r="E252" s="391"/>
      <c r="K252" s="391"/>
    </row>
    <row r="253" spans="5:11" ht="15" customHeight="1">
      <c r="E253" s="391"/>
      <c r="K253" s="391"/>
    </row>
    <row r="254" spans="5:11" ht="15" customHeight="1">
      <c r="E254" s="391"/>
      <c r="K254" s="391"/>
    </row>
    <row r="255" spans="5:11" ht="15" customHeight="1">
      <c r="E255" s="391"/>
      <c r="K255" s="391"/>
    </row>
    <row r="256" spans="5:11" ht="15" customHeight="1">
      <c r="E256" s="391"/>
      <c r="K256" s="391"/>
    </row>
    <row r="257" spans="5:11" ht="15" customHeight="1">
      <c r="E257" s="391"/>
      <c r="K257" s="391"/>
    </row>
    <row r="258" spans="5:11" ht="15" customHeight="1">
      <c r="E258" s="391"/>
      <c r="K258" s="391"/>
    </row>
    <row r="259" spans="5:11" ht="15" customHeight="1">
      <c r="E259" s="391"/>
      <c r="K259" s="391"/>
    </row>
    <row r="260" spans="5:11" ht="15" customHeight="1">
      <c r="E260" s="391"/>
      <c r="K260" s="391"/>
    </row>
    <row r="261" spans="5:11" ht="15" customHeight="1">
      <c r="E261" s="391"/>
      <c r="K261" s="391"/>
    </row>
    <row r="262" spans="5:11" ht="15" customHeight="1">
      <c r="E262" s="391"/>
      <c r="K262" s="391"/>
    </row>
    <row r="263" spans="5:11" ht="15" customHeight="1">
      <c r="E263" s="391"/>
      <c r="K263" s="391"/>
    </row>
    <row r="264" spans="5:11" ht="15" customHeight="1">
      <c r="E264" s="391"/>
      <c r="K264" s="391"/>
    </row>
    <row r="265" spans="5:11" ht="15" customHeight="1">
      <c r="E265" s="391"/>
      <c r="K265" s="391"/>
    </row>
    <row r="266" spans="5:11" ht="15" customHeight="1">
      <c r="E266" s="391"/>
      <c r="K266" s="391"/>
    </row>
    <row r="267" spans="5:11" ht="15" customHeight="1">
      <c r="E267" s="391"/>
      <c r="K267" s="391"/>
    </row>
    <row r="268" spans="5:11" ht="15" customHeight="1">
      <c r="E268" s="391"/>
      <c r="K268" s="391"/>
    </row>
    <row r="269" spans="5:11" ht="15" customHeight="1">
      <c r="E269" s="391"/>
      <c r="K269" s="391"/>
    </row>
    <row r="270" spans="5:11" ht="15" customHeight="1">
      <c r="E270" s="391"/>
      <c r="K270" s="391"/>
    </row>
    <row r="271" spans="5:11" ht="15" customHeight="1">
      <c r="E271" s="391"/>
      <c r="K271" s="391"/>
    </row>
    <row r="272" spans="5:11" ht="15" customHeight="1">
      <c r="E272" s="391"/>
      <c r="K272" s="391"/>
    </row>
    <row r="273" spans="5:11" ht="15" customHeight="1">
      <c r="E273" s="391"/>
      <c r="K273" s="391"/>
    </row>
    <row r="274" spans="5:11" ht="15" customHeight="1">
      <c r="E274" s="391"/>
      <c r="K274" s="391"/>
    </row>
    <row r="275" spans="5:11" ht="15" customHeight="1">
      <c r="E275" s="391"/>
      <c r="K275" s="391"/>
    </row>
    <row r="276" spans="5:11" ht="15" customHeight="1">
      <c r="E276" s="391"/>
      <c r="K276" s="391"/>
    </row>
    <row r="277" spans="5:11" ht="15" customHeight="1">
      <c r="E277" s="391"/>
      <c r="K277" s="391"/>
    </row>
    <row r="278" spans="5:11" ht="15" customHeight="1">
      <c r="E278" s="391"/>
      <c r="K278" s="391"/>
    </row>
    <row r="279" spans="5:11" ht="15" customHeight="1">
      <c r="E279" s="391"/>
      <c r="K279" s="391"/>
    </row>
    <row r="280" spans="5:11" ht="15" customHeight="1">
      <c r="E280" s="391"/>
      <c r="K280" s="391"/>
    </row>
    <row r="281" spans="5:11" ht="15" customHeight="1">
      <c r="E281" s="391"/>
      <c r="K281" s="391"/>
    </row>
    <row r="282" spans="5:11" ht="15" customHeight="1">
      <c r="E282" s="391"/>
      <c r="K282" s="391"/>
    </row>
    <row r="283" spans="5:11" ht="15" customHeight="1">
      <c r="E283" s="391"/>
      <c r="K283" s="391"/>
    </row>
    <row r="284" spans="5:11" ht="15" customHeight="1">
      <c r="E284" s="391"/>
      <c r="K284" s="391"/>
    </row>
    <row r="285" spans="5:11" ht="15" customHeight="1">
      <c r="E285" s="391"/>
      <c r="K285" s="391"/>
    </row>
    <row r="286" spans="5:11" ht="15" customHeight="1">
      <c r="E286" s="391"/>
      <c r="K286" s="391"/>
    </row>
    <row r="287" spans="5:11" ht="15" customHeight="1">
      <c r="E287" s="391"/>
      <c r="K287" s="391"/>
    </row>
    <row r="288" spans="5:11" ht="15" customHeight="1">
      <c r="E288" s="391"/>
      <c r="K288" s="391"/>
    </row>
    <row r="289" spans="5:11" ht="15" customHeight="1">
      <c r="E289" s="391"/>
      <c r="K289" s="391"/>
    </row>
    <row r="290" spans="5:11" ht="15" customHeight="1">
      <c r="E290" s="391"/>
      <c r="K290" s="391"/>
    </row>
  </sheetData>
  <conditionalFormatting sqref="E111 E113:F115 E197:E290 K215:K290 K27:K28 K31:K34 K36:K64 K111:K195 K102:K105 C13:M14 E26:F31 E20:F21 K20:K22 K66:K80 E75:F101 E33:F73 E103:F110">
    <cfRule type="cellIs" dxfId="114" priority="5" operator="equal">
      <formula>0</formula>
    </cfRule>
  </conditionalFormatting>
  <conditionalFormatting sqref="E111 E113:F115">
    <cfRule type="cellIs" dxfId="113" priority="4" operator="equal">
      <formula>0</formula>
    </cfRule>
  </conditionalFormatting>
  <conditionalFormatting sqref="E111 E113:F115 K27:K28 K31:K34 K36:K64 K111:K115 K102:K105 C13:M14 E26:F31 E20:F21 K20:K22 K66:K80 E75:F101 E33:F73 E103:F110">
    <cfRule type="cellIs" dxfId="112" priority="3" operator="equal">
      <formula>0</formula>
    </cfRule>
  </conditionalFormatting>
  <conditionalFormatting sqref="E111 E113:F115">
    <cfRule type="cellIs" dxfId="111" priority="2" operator="equal">
      <formula>0</formula>
    </cfRule>
  </conditionalFormatting>
  <conditionalFormatting sqref="F19:F115">
    <cfRule type="cellIs" dxfId="110" priority="1" stopIfTrue="1" operator="greaterThan">
      <formula>0</formula>
    </cfRule>
  </conditionalFormatting>
  <printOptions horizontalCentered="1"/>
  <pageMargins left="0.39370078740157483" right="0.39370078740157483" top="0.39370078740157483" bottom="0.39370078740157483" header="0.31496062992125984" footer="0.31496062992125984"/>
  <pageSetup paperSize="9" scale="62" orientation="portrait" horizontalDpi="1200" verticalDpi="12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S76"/>
  <sheetViews>
    <sheetView zoomScale="85" zoomScaleNormal="85" workbookViewId="0">
      <selection activeCell="M36" sqref="M36"/>
    </sheetView>
  </sheetViews>
  <sheetFormatPr baseColWidth="10" defaultColWidth="11.44140625" defaultRowHeight="14.4"/>
  <cols>
    <col min="1" max="1" width="11.44140625" style="844"/>
    <col min="2" max="2" width="20" style="844" customWidth="1"/>
    <col min="3" max="3" width="11.44140625" style="844"/>
    <col min="4" max="4" width="16.6640625" style="844" customWidth="1"/>
    <col min="5" max="8" width="11.44140625" style="844"/>
    <col min="9" max="9" width="17.44140625" style="844" customWidth="1"/>
    <col min="10" max="10" width="2.88671875" style="844" customWidth="1"/>
    <col min="11" max="13" width="11.44140625" style="844"/>
    <col min="14" max="14" width="15.77734375" style="844" customWidth="1"/>
    <col min="15" max="16384" width="11.44140625" style="844"/>
  </cols>
  <sheetData>
    <row r="2" spans="2:8" ht="25.2" customHeight="1">
      <c r="B2" s="1202" t="s">
        <v>394</v>
      </c>
      <c r="C2" s="1202"/>
      <c r="D2" s="1202"/>
      <c r="E2" s="1202"/>
      <c r="F2" s="1202"/>
      <c r="G2" s="1202"/>
      <c r="H2" s="1202"/>
    </row>
    <row r="3" spans="2:8" ht="21" customHeight="1">
      <c r="E3" s="1084" t="s">
        <v>818</v>
      </c>
      <c r="F3" s="1084" t="s">
        <v>819</v>
      </c>
      <c r="G3" s="1084" t="s">
        <v>820</v>
      </c>
      <c r="H3" s="1084" t="s">
        <v>821</v>
      </c>
    </row>
    <row r="4" spans="2:8">
      <c r="B4" s="1085" t="s">
        <v>145</v>
      </c>
      <c r="C4" s="1086"/>
      <c r="D4" s="1087" t="s">
        <v>146</v>
      </c>
      <c r="E4" s="1088" t="s">
        <v>395</v>
      </c>
      <c r="F4" s="1088" t="s">
        <v>395</v>
      </c>
      <c r="G4" s="1088" t="s">
        <v>395</v>
      </c>
      <c r="H4" s="1088" t="s">
        <v>395</v>
      </c>
    </row>
    <row r="5" spans="2:8">
      <c r="B5" s="1089">
        <v>1</v>
      </c>
      <c r="C5" s="1090"/>
      <c r="D5" s="1089"/>
      <c r="E5" s="1091">
        <f t="shared" ref="E5:H5" si="0">SUM(E6:E9)</f>
        <v>23.37</v>
      </c>
      <c r="F5" s="1091">
        <f t="shared" si="0"/>
        <v>19.914304269917743</v>
      </c>
      <c r="G5" s="1091">
        <f t="shared" si="0"/>
        <v>20.143945782958362</v>
      </c>
      <c r="H5" s="1092">
        <f t="shared" si="0"/>
        <v>20.759254642276581</v>
      </c>
    </row>
    <row r="6" spans="2:8">
      <c r="B6" s="1093" t="s">
        <v>91</v>
      </c>
      <c r="C6" s="1094"/>
      <c r="D6" s="1095"/>
      <c r="E6" s="1096"/>
      <c r="F6" s="1096"/>
      <c r="G6" s="1096"/>
      <c r="H6" s="1097"/>
    </row>
    <row r="7" spans="2:8">
      <c r="B7" s="1098" t="s">
        <v>148</v>
      </c>
      <c r="C7" s="1094"/>
      <c r="D7" s="1095">
        <v>6014</v>
      </c>
      <c r="E7" s="1099">
        <v>22.37</v>
      </c>
      <c r="F7" s="1099">
        <v>16.510000000000002</v>
      </c>
      <c r="G7" s="1099">
        <v>16.7</v>
      </c>
      <c r="H7" s="1100">
        <v>17.21</v>
      </c>
    </row>
    <row r="8" spans="2:8">
      <c r="B8" s="1098" t="s">
        <v>150</v>
      </c>
      <c r="C8" s="1094"/>
      <c r="D8" s="1095">
        <v>6014</v>
      </c>
      <c r="E8" s="1099">
        <v>1</v>
      </c>
      <c r="F8" s="1099">
        <v>3.4043042699177399</v>
      </c>
      <c r="G8" s="1099">
        <v>3.4439457829583615</v>
      </c>
      <c r="H8" s="1100">
        <v>3.5492546422765785</v>
      </c>
    </row>
    <row r="9" spans="2:8">
      <c r="B9" s="1101" t="s">
        <v>151</v>
      </c>
      <c r="C9" s="1102"/>
      <c r="D9" s="1103"/>
      <c r="E9" s="1103"/>
      <c r="F9" s="1104"/>
      <c r="G9" s="1104"/>
      <c r="H9" s="1105"/>
    </row>
    <row r="10" spans="2:8">
      <c r="B10" s="1106">
        <v>2</v>
      </c>
      <c r="C10" s="1090"/>
      <c r="D10" s="1089"/>
      <c r="E10" s="1091">
        <f t="shared" ref="E10:H10" si="1">SUM(E11)</f>
        <v>0</v>
      </c>
      <c r="F10" s="1091">
        <f t="shared" si="1"/>
        <v>0</v>
      </c>
      <c r="G10" s="1091">
        <f t="shared" si="1"/>
        <v>0</v>
      </c>
      <c r="H10" s="1092">
        <f t="shared" si="1"/>
        <v>0</v>
      </c>
    </row>
    <row r="11" spans="2:8">
      <c r="B11" s="1101" t="s">
        <v>151</v>
      </c>
      <c r="C11" s="1102"/>
      <c r="D11" s="1103"/>
      <c r="E11" s="1103"/>
      <c r="F11" s="1104"/>
      <c r="G11" s="1104"/>
      <c r="H11" s="1105"/>
    </row>
    <row r="12" spans="2:8">
      <c r="B12" s="1089">
        <v>3</v>
      </c>
      <c r="C12" s="1090"/>
      <c r="D12" s="1089"/>
      <c r="E12" s="1091">
        <f t="shared" ref="E12:H12" si="2">SUM(E13:E15)</f>
        <v>0.1</v>
      </c>
      <c r="F12" s="1091">
        <f t="shared" si="2"/>
        <v>9.1459859130985102E-2</v>
      </c>
      <c r="G12" s="1091">
        <f t="shared" si="2"/>
        <v>9.2524865931485331E-2</v>
      </c>
      <c r="H12" s="1092">
        <f t="shared" si="2"/>
        <v>9.5354088196838716E-2</v>
      </c>
    </row>
    <row r="13" spans="2:8">
      <c r="B13" s="1093" t="s">
        <v>91</v>
      </c>
      <c r="C13" s="1094"/>
      <c r="D13" s="1095"/>
      <c r="E13" s="1095"/>
      <c r="F13" s="1096"/>
      <c r="G13" s="1096"/>
      <c r="H13" s="1097"/>
    </row>
    <row r="14" spans="2:8">
      <c r="B14" s="1098" t="s">
        <v>92</v>
      </c>
      <c r="C14" s="1094"/>
      <c r="D14" s="1095">
        <v>6087</v>
      </c>
      <c r="E14" s="1099">
        <v>0.1</v>
      </c>
      <c r="F14" s="1099">
        <v>9.1459859130985102E-2</v>
      </c>
      <c r="G14" s="1099">
        <v>9.2524865931485331E-2</v>
      </c>
      <c r="H14" s="1100">
        <v>9.5354088196838716E-2</v>
      </c>
    </row>
    <row r="15" spans="2:8">
      <c r="B15" s="1101" t="s">
        <v>151</v>
      </c>
      <c r="C15" s="1102"/>
      <c r="D15" s="1103"/>
      <c r="E15" s="1103"/>
      <c r="F15" s="1104"/>
      <c r="G15" s="1104"/>
      <c r="H15" s="1105"/>
    </row>
    <row r="16" spans="2:8">
      <c r="B16" s="1089">
        <v>4</v>
      </c>
      <c r="C16" s="1090"/>
      <c r="D16" s="1089"/>
      <c r="E16" s="1091">
        <f>SUM(E17:E22)</f>
        <v>122.86</v>
      </c>
      <c r="F16" s="1091">
        <f>SUM(F17:F22)</f>
        <v>123.57224114539488</v>
      </c>
      <c r="G16" s="1091">
        <f>SUM(G17:G22)</f>
        <v>119.48122302839568</v>
      </c>
      <c r="H16" s="1092">
        <f>SUM(H17:H22)</f>
        <v>122.79517221171982</v>
      </c>
    </row>
    <row r="17" spans="2:15">
      <c r="B17" s="1093" t="s">
        <v>91</v>
      </c>
      <c r="C17" s="1094"/>
      <c r="D17" s="1095"/>
      <c r="E17" s="1095"/>
      <c r="F17" s="1096"/>
      <c r="G17" s="1096"/>
      <c r="H17" s="1097"/>
    </row>
    <row r="18" spans="2:15">
      <c r="B18" s="1098" t="s">
        <v>822</v>
      </c>
      <c r="C18" s="1094"/>
      <c r="D18" s="1095">
        <v>6013</v>
      </c>
      <c r="E18" s="1095"/>
      <c r="F18" s="1099">
        <v>17.780470900291437</v>
      </c>
      <c r="G18" s="1099">
        <v>17.924096278638576</v>
      </c>
      <c r="H18" s="1100">
        <v>18.132813901986673</v>
      </c>
    </row>
    <row r="19" spans="2:15">
      <c r="B19" s="1098" t="s">
        <v>823</v>
      </c>
      <c r="C19" s="1094"/>
      <c r="D19" s="1095">
        <v>6013</v>
      </c>
      <c r="E19" s="1099">
        <v>122.86</v>
      </c>
      <c r="F19" s="1099">
        <v>85.58</v>
      </c>
      <c r="G19" s="1099">
        <v>81.11</v>
      </c>
      <c r="H19" s="1100">
        <v>83.59</v>
      </c>
    </row>
    <row r="20" spans="2:15">
      <c r="B20" s="1107" t="s">
        <v>824</v>
      </c>
      <c r="C20" s="1094"/>
      <c r="D20" s="1108">
        <v>6380</v>
      </c>
      <c r="E20" s="1108"/>
      <c r="F20" s="1099">
        <v>14.715289042186841</v>
      </c>
      <c r="G20" s="1099">
        <v>14.886641622981994</v>
      </c>
      <c r="H20" s="1100">
        <v>15.341844854157332</v>
      </c>
    </row>
    <row r="21" spans="2:15">
      <c r="B21" s="1107" t="s">
        <v>825</v>
      </c>
      <c r="C21" s="1094"/>
      <c r="D21" s="1108">
        <v>6182</v>
      </c>
      <c r="E21" s="1108"/>
      <c r="F21" s="1099">
        <v>5.4964812029166152</v>
      </c>
      <c r="G21" s="1099">
        <v>5.5604851267751059</v>
      </c>
      <c r="H21" s="1100">
        <v>5.7305134555757968</v>
      </c>
    </row>
    <row r="22" spans="2:15" ht="15" thickBot="1">
      <c r="B22" s="1101" t="s">
        <v>151</v>
      </c>
      <c r="C22" s="1102"/>
      <c r="D22" s="1103"/>
      <c r="E22" s="1103"/>
      <c r="F22" s="1109"/>
      <c r="G22" s="1109"/>
      <c r="H22" s="1110"/>
    </row>
    <row r="23" spans="2:15" ht="16.2" thickBot="1">
      <c r="B23" s="1111">
        <v>5</v>
      </c>
      <c r="C23" s="1112"/>
      <c r="D23" s="1113"/>
      <c r="E23" s="1114">
        <f>SUM(E24:E32)</f>
        <v>404.89750000000004</v>
      </c>
      <c r="F23" s="1114">
        <f>SUM(F24:F32)</f>
        <v>413.7669373519351</v>
      </c>
      <c r="G23" s="1114">
        <f>SUM(G24:G32)</f>
        <v>417.86816082599773</v>
      </c>
      <c r="H23" s="1115">
        <f>SUM(H24:H32)</f>
        <v>421.80477667034165</v>
      </c>
      <c r="L23" s="1206" t="s">
        <v>420</v>
      </c>
      <c r="M23" s="1207"/>
    </row>
    <row r="24" spans="2:15">
      <c r="B24" s="1093" t="s">
        <v>156</v>
      </c>
      <c r="C24" s="1094"/>
      <c r="D24" s="1095"/>
      <c r="E24" s="1095"/>
      <c r="F24" s="1116"/>
      <c r="G24" s="1116"/>
      <c r="H24" s="1117"/>
      <c r="L24" s="1136">
        <v>44378</v>
      </c>
      <c r="M24" s="1137">
        <v>187.22</v>
      </c>
      <c r="N24" s="1136">
        <v>44743</v>
      </c>
      <c r="O24" s="1137">
        <v>160.24</v>
      </c>
    </row>
    <row r="25" spans="2:15">
      <c r="B25" s="1118" t="s">
        <v>158</v>
      </c>
      <c r="C25" s="1094"/>
      <c r="D25" s="1095">
        <v>6009</v>
      </c>
      <c r="E25" s="1099">
        <v>235.27</v>
      </c>
      <c r="F25" s="1099">
        <v>223.19</v>
      </c>
      <c r="G25" s="1129">
        <v>227.7</v>
      </c>
      <c r="H25" s="1130">
        <v>231.11</v>
      </c>
      <c r="L25" s="1138">
        <v>44409</v>
      </c>
      <c r="M25" s="1139">
        <v>164.85</v>
      </c>
      <c r="N25" s="1138">
        <v>44774</v>
      </c>
      <c r="O25" s="1139">
        <v>134.88999999999999</v>
      </c>
    </row>
    <row r="26" spans="2:15">
      <c r="B26" s="1118" t="s">
        <v>826</v>
      </c>
      <c r="C26" s="1094"/>
      <c r="D26" s="1095">
        <v>6460</v>
      </c>
      <c r="E26" s="1099"/>
      <c r="F26" s="1099">
        <v>21.466898355325831</v>
      </c>
      <c r="G26" s="1099">
        <v>21.900660825997697</v>
      </c>
      <c r="H26" s="1100">
        <v>22.377276670341647</v>
      </c>
      <c r="L26" s="1138">
        <v>44440</v>
      </c>
      <c r="M26" s="1139">
        <v>158</v>
      </c>
      <c r="N26" s="1138">
        <v>44805</v>
      </c>
      <c r="O26" s="1139">
        <v>43.2</v>
      </c>
    </row>
    <row r="27" spans="2:15">
      <c r="B27" s="1093" t="s">
        <v>159</v>
      </c>
      <c r="C27" s="1094"/>
      <c r="D27" s="1095"/>
      <c r="E27" s="1099"/>
      <c r="F27" s="1096"/>
      <c r="G27" s="1096"/>
      <c r="H27" s="1097"/>
      <c r="L27" s="1138">
        <v>44470</v>
      </c>
      <c r="M27" s="1139">
        <v>73.56</v>
      </c>
      <c r="N27" s="1138">
        <v>44835</v>
      </c>
      <c r="O27" s="1139">
        <v>180.7</v>
      </c>
    </row>
    <row r="28" spans="2:15">
      <c r="B28" s="1098" t="s">
        <v>160</v>
      </c>
      <c r="C28" s="1094"/>
      <c r="D28" s="1095">
        <v>6009</v>
      </c>
      <c r="E28" s="1099">
        <v>0.83</v>
      </c>
      <c r="F28" s="1099">
        <v>0.84</v>
      </c>
      <c r="G28" s="1099">
        <v>0.84</v>
      </c>
      <c r="H28" s="1100">
        <v>0.89</v>
      </c>
      <c r="L28" s="1138">
        <v>44501</v>
      </c>
      <c r="M28" s="1139">
        <v>169.65</v>
      </c>
      <c r="N28" s="1138">
        <v>44866</v>
      </c>
      <c r="O28" s="1139">
        <v>171.94</v>
      </c>
    </row>
    <row r="29" spans="2:15">
      <c r="B29" s="1098" t="s">
        <v>827</v>
      </c>
      <c r="C29" s="1094"/>
      <c r="D29" s="1095">
        <v>6009</v>
      </c>
      <c r="E29" s="1099">
        <v>1.37</v>
      </c>
      <c r="F29" s="1099">
        <v>0.84253899660921205</v>
      </c>
      <c r="G29" s="1099">
        <v>0</v>
      </c>
      <c r="H29" s="1100">
        <v>0</v>
      </c>
      <c r="L29" s="1138">
        <v>44531</v>
      </c>
      <c r="M29" s="1139">
        <v>271.3</v>
      </c>
      <c r="N29" s="1138">
        <v>44896</v>
      </c>
      <c r="O29" s="1139">
        <v>149.43</v>
      </c>
    </row>
    <row r="30" spans="2:15" ht="15.6">
      <c r="B30" s="1119" t="s">
        <v>828</v>
      </c>
      <c r="C30" s="1094"/>
      <c r="D30" s="1095"/>
      <c r="E30" s="1099"/>
      <c r="F30" s="1096"/>
      <c r="G30" s="1096"/>
      <c r="H30" s="1097"/>
      <c r="L30" s="1138">
        <v>44562</v>
      </c>
      <c r="M30" s="1139">
        <v>181.77</v>
      </c>
    </row>
    <row r="31" spans="2:15">
      <c r="B31" s="1098" t="s">
        <v>420</v>
      </c>
      <c r="C31" s="1094"/>
      <c r="D31" s="1095">
        <v>6008</v>
      </c>
      <c r="E31" s="1131">
        <f>+M36</f>
        <v>167.42750000000001</v>
      </c>
      <c r="F31" s="1131">
        <f>+M36</f>
        <v>167.42750000000001</v>
      </c>
      <c r="G31" s="1131">
        <f>+M36</f>
        <v>167.42750000000001</v>
      </c>
      <c r="H31" s="1131">
        <f>+M36</f>
        <v>167.42750000000001</v>
      </c>
      <c r="I31" s="899" t="s">
        <v>837</v>
      </c>
      <c r="L31" s="1138">
        <v>44593</v>
      </c>
      <c r="M31" s="1139">
        <v>174.74</v>
      </c>
    </row>
    <row r="32" spans="2:15">
      <c r="B32" s="1120" t="s">
        <v>151</v>
      </c>
      <c r="C32" s="1094"/>
      <c r="D32" s="1095"/>
      <c r="E32" s="1095"/>
      <c r="F32" s="1096"/>
      <c r="G32" s="1096"/>
      <c r="H32" s="1097"/>
      <c r="L32" s="1138">
        <v>44621</v>
      </c>
      <c r="M32" s="1139">
        <v>229.64</v>
      </c>
    </row>
    <row r="33" spans="2:19">
      <c r="B33" s="1106">
        <v>6</v>
      </c>
      <c r="C33" s="1090"/>
      <c r="D33" s="1089"/>
      <c r="E33" s="1091">
        <f t="shared" ref="E33:H33" si="3">SUM(E34:E39)</f>
        <v>183.27</v>
      </c>
      <c r="F33" s="1091">
        <f t="shared" si="3"/>
        <v>180.24893333333333</v>
      </c>
      <c r="G33" s="1091">
        <f t="shared" si="3"/>
        <v>199.17893333333333</v>
      </c>
      <c r="H33" s="1092">
        <f t="shared" si="3"/>
        <v>203.54055121538289</v>
      </c>
      <c r="L33" s="1138">
        <v>44652</v>
      </c>
      <c r="M33" s="1139">
        <v>171.69</v>
      </c>
    </row>
    <row r="34" spans="2:19">
      <c r="B34" s="1093" t="s">
        <v>156</v>
      </c>
      <c r="C34" s="1094"/>
      <c r="D34" s="1095"/>
      <c r="E34" s="1095"/>
      <c r="F34" s="1096"/>
      <c r="G34" s="1096"/>
      <c r="H34" s="1097"/>
      <c r="L34" s="1138">
        <v>44682</v>
      </c>
      <c r="M34" s="1139">
        <v>91.82</v>
      </c>
    </row>
    <row r="35" spans="2:19" ht="15" thickBot="1">
      <c r="B35" s="1098" t="s">
        <v>164</v>
      </c>
      <c r="C35" s="1094"/>
      <c r="D35" s="1095">
        <v>6005</v>
      </c>
      <c r="E35" s="1099">
        <v>180.9</v>
      </c>
      <c r="F35" s="1099">
        <v>177.85</v>
      </c>
      <c r="G35" s="1099">
        <v>196.78</v>
      </c>
      <c r="H35" s="1100">
        <v>201.07</v>
      </c>
      <c r="L35" s="1140">
        <v>44713</v>
      </c>
      <c r="M35" s="1141">
        <v>134.88999999999999</v>
      </c>
    </row>
    <row r="36" spans="2:19" ht="18.600000000000001" thickBot="1">
      <c r="B36" s="1093" t="s">
        <v>159</v>
      </c>
      <c r="C36" s="1094"/>
      <c r="D36" s="1095"/>
      <c r="E36" s="1099"/>
      <c r="F36" s="1096"/>
      <c r="G36" s="1096"/>
      <c r="H36" s="1097"/>
      <c r="L36" s="1142" t="s">
        <v>839</v>
      </c>
      <c r="M36" s="1143">
        <f>AVERAGE(M24:M35)</f>
        <v>167.42750000000001</v>
      </c>
      <c r="N36" s="1142" t="s">
        <v>839</v>
      </c>
      <c r="O36" s="1143">
        <f>AVERAGE(O24:O35)</f>
        <v>140.06666666666669</v>
      </c>
    </row>
    <row r="37" spans="2:19">
      <c r="B37" s="1098" t="s">
        <v>160</v>
      </c>
      <c r="C37" s="1094"/>
      <c r="D37" s="1095">
        <v>6005</v>
      </c>
      <c r="E37" s="1099">
        <v>0.24</v>
      </c>
      <c r="F37" s="1099">
        <v>0.29893333333333338</v>
      </c>
      <c r="G37" s="1099">
        <v>0.29893333333333338</v>
      </c>
      <c r="H37" s="1100">
        <v>0.37055121538289071</v>
      </c>
    </row>
    <row r="38" spans="2:19">
      <c r="B38" s="1098" t="s">
        <v>422</v>
      </c>
      <c r="C38" s="1094"/>
      <c r="D38" s="1095">
        <v>6005</v>
      </c>
      <c r="E38" s="1099">
        <v>2.13</v>
      </c>
      <c r="F38" s="1099">
        <v>2.1</v>
      </c>
      <c r="G38" s="1099">
        <v>2.1</v>
      </c>
      <c r="H38" s="1100">
        <v>2.1</v>
      </c>
    </row>
    <row r="39" spans="2:19">
      <c r="B39" s="1101" t="s">
        <v>151</v>
      </c>
      <c r="C39" s="1102"/>
      <c r="D39" s="1103"/>
      <c r="E39" s="1103"/>
      <c r="F39" s="1104"/>
      <c r="G39" s="1104"/>
      <c r="H39" s="1105"/>
    </row>
    <row r="40" spans="2:19">
      <c r="B40" s="1106">
        <v>7</v>
      </c>
      <c r="C40" s="1090"/>
      <c r="D40" s="1089"/>
      <c r="E40" s="1091">
        <f>SUM(E42:E58)</f>
        <v>1126.9100000000001</v>
      </c>
      <c r="F40" s="1091">
        <f>SUM(F42:F58)</f>
        <v>1123.6969575106157</v>
      </c>
      <c r="G40" s="1091">
        <f>SUM(G42:G58)</f>
        <v>1159.9379902241108</v>
      </c>
      <c r="H40" s="1092">
        <f>SUM(H42:H58)</f>
        <v>1166.4340438628744</v>
      </c>
    </row>
    <row r="41" spans="2:19">
      <c r="B41" s="1093" t="s">
        <v>169</v>
      </c>
      <c r="C41" s="1094"/>
      <c r="D41" s="1095"/>
      <c r="E41" s="1095"/>
      <c r="F41" s="1096"/>
      <c r="G41" s="1096"/>
      <c r="H41" s="1097"/>
    </row>
    <row r="42" spans="2:19">
      <c r="B42" s="1098" t="s">
        <v>171</v>
      </c>
      <c r="C42" s="1094"/>
      <c r="D42" s="1095">
        <v>6002</v>
      </c>
      <c r="E42" s="1099">
        <v>234.46</v>
      </c>
      <c r="F42" s="1099">
        <v>223.23</v>
      </c>
      <c r="G42" s="1099">
        <v>230.33</v>
      </c>
      <c r="H42" s="1100">
        <v>234.96</v>
      </c>
    </row>
    <row r="43" spans="2:19">
      <c r="B43" s="1098" t="s">
        <v>423</v>
      </c>
      <c r="C43" s="1094"/>
      <c r="D43" s="1095">
        <v>6004</v>
      </c>
      <c r="E43" s="1099">
        <v>308.05</v>
      </c>
      <c r="F43" s="1099">
        <v>310.87</v>
      </c>
      <c r="G43" s="1099">
        <v>326.07</v>
      </c>
      <c r="H43" s="1100">
        <v>341.9</v>
      </c>
    </row>
    <row r="44" spans="2:19">
      <c r="B44" s="1098" t="s">
        <v>424</v>
      </c>
      <c r="C44" s="1094"/>
      <c r="D44" s="1095">
        <v>6470</v>
      </c>
      <c r="E44" s="1099">
        <v>67.400000000000006</v>
      </c>
      <c r="F44" s="1099">
        <v>46.531600000000005</v>
      </c>
      <c r="G44" s="1099">
        <v>49.619549999999997</v>
      </c>
      <c r="H44" s="1100">
        <v>52.731500000000004</v>
      </c>
    </row>
    <row r="45" spans="2:19">
      <c r="B45" s="1093" t="s">
        <v>829</v>
      </c>
      <c r="C45" s="1094"/>
      <c r="D45" s="1095"/>
      <c r="E45" s="1099"/>
      <c r="F45" s="1096"/>
      <c r="G45" s="1096"/>
      <c r="H45" s="1097"/>
    </row>
    <row r="46" spans="2:19">
      <c r="B46" s="1098" t="s">
        <v>175</v>
      </c>
      <c r="C46" s="1094"/>
      <c r="D46" s="1095">
        <v>6024</v>
      </c>
      <c r="E46" s="1099">
        <v>27.89</v>
      </c>
      <c r="F46" s="1099">
        <v>21.783927943441903</v>
      </c>
      <c r="G46" s="1099">
        <v>21.708410326571311</v>
      </c>
      <c r="H46" s="1100">
        <v>22.221784895105081</v>
      </c>
    </row>
    <row r="47" spans="2:19">
      <c r="B47" s="1098" t="s">
        <v>425</v>
      </c>
      <c r="C47" s="1094"/>
      <c r="D47" s="1095">
        <v>6002</v>
      </c>
      <c r="E47" s="1099">
        <v>1.89</v>
      </c>
      <c r="F47" s="1099">
        <v>0.14399999999999999</v>
      </c>
      <c r="G47" s="1099">
        <v>0.14399999999999999</v>
      </c>
      <c r="H47" s="1100">
        <v>0.14399999999999999</v>
      </c>
      <c r="Q47" s="1121"/>
      <c r="R47" s="1121"/>
      <c r="S47" s="1121"/>
    </row>
    <row r="48" spans="2:19">
      <c r="B48" s="1098" t="s">
        <v>428</v>
      </c>
      <c r="C48" s="1094"/>
      <c r="D48" s="1095">
        <v>6004</v>
      </c>
      <c r="E48" s="1099">
        <v>4.13</v>
      </c>
      <c r="F48" s="1099">
        <v>0.27900000000000003</v>
      </c>
      <c r="G48" s="1099">
        <v>0.27900000000000003</v>
      </c>
      <c r="H48" s="1100">
        <v>0.27900000000000003</v>
      </c>
      <c r="Q48" s="1121"/>
      <c r="R48" s="1121"/>
      <c r="S48" s="1121"/>
    </row>
    <row r="49" spans="2:19">
      <c r="B49" s="1098" t="s">
        <v>160</v>
      </c>
      <c r="C49" s="1094"/>
      <c r="D49" s="1095">
        <v>6002</v>
      </c>
      <c r="E49" s="1099">
        <v>1.93</v>
      </c>
      <c r="F49" s="1099">
        <v>1.7200577252627105</v>
      </c>
      <c r="G49" s="1099">
        <v>1.7200577252627105</v>
      </c>
      <c r="H49" s="1100">
        <v>1.8299134055555555</v>
      </c>
      <c r="Q49" s="1121"/>
      <c r="R49" s="1121"/>
      <c r="S49" s="1121"/>
    </row>
    <row r="50" spans="2:19">
      <c r="B50" s="1093" t="s">
        <v>156</v>
      </c>
      <c r="C50" s="1094"/>
      <c r="D50" s="1095"/>
      <c r="F50" s="1096"/>
      <c r="G50" s="1096"/>
      <c r="H50" s="1097"/>
    </row>
    <row r="51" spans="2:19">
      <c r="B51" s="1098" t="s">
        <v>171</v>
      </c>
      <c r="C51" s="1094"/>
      <c r="D51" s="1095">
        <v>6002</v>
      </c>
      <c r="E51" s="1099">
        <v>433.52</v>
      </c>
      <c r="F51" s="1122">
        <v>513.97</v>
      </c>
      <c r="G51" s="1122">
        <v>524.87</v>
      </c>
      <c r="H51" s="1123">
        <v>506.83</v>
      </c>
    </row>
    <row r="52" spans="2:19">
      <c r="B52" s="1093" t="s">
        <v>830</v>
      </c>
      <c r="C52" s="1094"/>
      <c r="D52" s="1095"/>
      <c r="F52" s="1096"/>
      <c r="G52" s="1096"/>
      <c r="H52" s="1097"/>
      <c r="Q52" s="1121"/>
      <c r="R52" s="1121"/>
      <c r="S52" s="1121"/>
    </row>
    <row r="53" spans="2:19">
      <c r="B53" s="1098" t="s">
        <v>426</v>
      </c>
      <c r="C53" s="1094"/>
      <c r="D53" s="1095">
        <v>6002</v>
      </c>
      <c r="E53" s="1099">
        <v>14.36</v>
      </c>
      <c r="F53" s="1099">
        <v>1.2766758691721838</v>
      </c>
      <c r="G53" s="1099">
        <v>1.3052761995376165</v>
      </c>
      <c r="H53" s="1100">
        <v>1.3052761995376165</v>
      </c>
      <c r="Q53" s="1121"/>
      <c r="R53" s="1121"/>
      <c r="S53" s="1121"/>
    </row>
    <row r="54" spans="2:19">
      <c r="B54" s="1098" t="s">
        <v>181</v>
      </c>
      <c r="C54" s="1094"/>
      <c r="D54" s="1095">
        <v>6002</v>
      </c>
      <c r="E54" s="1099">
        <v>14.45</v>
      </c>
      <c r="F54" s="1099">
        <v>1.2148865</v>
      </c>
      <c r="G54" s="1099">
        <v>1.2148865</v>
      </c>
      <c r="H54" s="1100">
        <v>1.2148865</v>
      </c>
      <c r="Q54" s="1121"/>
      <c r="R54" s="1121"/>
      <c r="S54" s="1121"/>
    </row>
    <row r="55" spans="2:19">
      <c r="B55" s="1098" t="s">
        <v>179</v>
      </c>
      <c r="C55" s="1094"/>
      <c r="D55" s="1095">
        <v>6002</v>
      </c>
      <c r="E55" s="1099">
        <v>0.81</v>
      </c>
      <c r="F55" s="1099">
        <v>0.95012977382276609</v>
      </c>
      <c r="G55" s="1099">
        <v>0.95012977382276609</v>
      </c>
      <c r="H55" s="1100">
        <v>0.95012977382276609</v>
      </c>
      <c r="Q55" s="1121"/>
      <c r="R55" s="1121"/>
      <c r="S55" s="1121"/>
    </row>
    <row r="56" spans="2:19">
      <c r="B56" s="1098" t="s">
        <v>427</v>
      </c>
      <c r="C56" s="1094"/>
      <c r="D56" s="1095">
        <v>6002</v>
      </c>
      <c r="E56" s="1099">
        <v>16.39</v>
      </c>
      <c r="F56" s="1099">
        <v>0</v>
      </c>
      <c r="G56" s="1099">
        <v>0</v>
      </c>
      <c r="H56" s="1100">
        <v>0</v>
      </c>
      <c r="Q56" s="1121"/>
      <c r="R56" s="1121"/>
      <c r="S56" s="1121"/>
    </row>
    <row r="57" spans="2:19">
      <c r="B57" s="1098" t="s">
        <v>160</v>
      </c>
      <c r="C57" s="1094"/>
      <c r="D57" s="1095">
        <v>6002</v>
      </c>
      <c r="E57" s="1099">
        <v>1.63</v>
      </c>
      <c r="F57" s="1099">
        <v>1.7266796989163489</v>
      </c>
      <c r="G57" s="1099">
        <v>1.7266796989163489</v>
      </c>
      <c r="H57" s="1100">
        <v>2.0675530888534572</v>
      </c>
      <c r="Q57" s="1121"/>
      <c r="R57" s="1121"/>
      <c r="S57" s="1121"/>
    </row>
    <row r="58" spans="2:19">
      <c r="B58" s="1101" t="s">
        <v>151</v>
      </c>
      <c r="C58" s="1102"/>
      <c r="D58" s="1103"/>
      <c r="E58" s="1103"/>
      <c r="F58" s="1104"/>
      <c r="G58" s="1104"/>
      <c r="H58" s="1105"/>
      <c r="Q58" s="1121"/>
      <c r="R58" s="1121"/>
      <c r="S58" s="1121"/>
    </row>
    <row r="59" spans="2:19">
      <c r="B59" s="1106">
        <v>8</v>
      </c>
      <c r="C59" s="1090"/>
      <c r="D59" s="1124"/>
      <c r="E59" s="1091">
        <f>SUM(E60:E62)</f>
        <v>2.4</v>
      </c>
      <c r="F59" s="1091">
        <f>SUM(F60:F62)</f>
        <v>1.31</v>
      </c>
      <c r="G59" s="1091">
        <f>SUM(G60:G62)</f>
        <v>1.33</v>
      </c>
      <c r="H59" s="1092">
        <f>SUM(H60:H62)</f>
        <v>1.35</v>
      </c>
      <c r="Q59" s="1121"/>
      <c r="R59" s="1121"/>
      <c r="S59" s="1121"/>
    </row>
    <row r="60" spans="2:19">
      <c r="B60" s="1093" t="s">
        <v>169</v>
      </c>
      <c r="C60" s="1094"/>
      <c r="D60" s="1095"/>
      <c r="E60" s="1095"/>
      <c r="F60" s="1096"/>
      <c r="G60" s="1096"/>
      <c r="H60" s="1097"/>
      <c r="Q60" s="1121"/>
      <c r="R60" s="1121"/>
      <c r="S60" s="1121"/>
    </row>
    <row r="61" spans="2:19">
      <c r="B61" s="1125" t="s">
        <v>432</v>
      </c>
      <c r="C61" s="1094"/>
      <c r="D61" s="1095">
        <v>6100</v>
      </c>
      <c r="E61" s="1096">
        <v>2.4</v>
      </c>
      <c r="F61" s="1096">
        <v>1.31</v>
      </c>
      <c r="G61" s="1096">
        <v>1.33</v>
      </c>
      <c r="H61" s="1097">
        <v>1.35</v>
      </c>
      <c r="I61" s="844" t="s">
        <v>831</v>
      </c>
      <c r="Q61" s="1121"/>
      <c r="R61" s="1121"/>
      <c r="S61" s="1121"/>
    </row>
    <row r="62" spans="2:19">
      <c r="B62" s="1101" t="s">
        <v>151</v>
      </c>
      <c r="C62" s="1102"/>
      <c r="D62" s="1103"/>
      <c r="E62" s="1103"/>
      <c r="F62" s="1104"/>
      <c r="G62" s="1104"/>
      <c r="H62" s="1105"/>
      <c r="Q62" s="1121"/>
      <c r="R62" s="1121"/>
      <c r="S62" s="1121"/>
    </row>
    <row r="63" spans="2:19">
      <c r="B63" s="1106">
        <v>9</v>
      </c>
      <c r="C63" s="1090"/>
      <c r="D63" s="1089"/>
      <c r="E63" s="1091">
        <f>SUM(E64:E70)</f>
        <v>129.75</v>
      </c>
      <c r="F63" s="1091">
        <f>SUM(F64:F70)</f>
        <v>148.55000000000001</v>
      </c>
      <c r="G63" s="1091">
        <f t="shared" ref="G63:H63" si="4">SUM(G64:G70)</f>
        <v>153.73000000000002</v>
      </c>
      <c r="H63" s="1092">
        <f t="shared" si="4"/>
        <v>157.13</v>
      </c>
      <c r="Q63" s="1121"/>
      <c r="R63" s="1121"/>
      <c r="S63" s="1121"/>
    </row>
    <row r="64" spans="2:19">
      <c r="B64" s="1093" t="s">
        <v>169</v>
      </c>
      <c r="C64" s="1094"/>
      <c r="D64" s="1095"/>
      <c r="E64" s="1095"/>
      <c r="F64" s="1096"/>
      <c r="G64" s="1096"/>
      <c r="H64" s="1097"/>
      <c r="Q64" s="1121"/>
      <c r="R64" s="1121"/>
      <c r="S64" s="1121"/>
    </row>
    <row r="65" spans="2:8">
      <c r="B65" s="1098" t="s">
        <v>30</v>
      </c>
      <c r="C65" s="1094"/>
      <c r="D65" s="1095">
        <v>6059</v>
      </c>
      <c r="E65" s="1099">
        <v>122.29</v>
      </c>
      <c r="F65" s="1099">
        <v>140.12</v>
      </c>
      <c r="G65" s="1099">
        <v>145.30000000000001</v>
      </c>
      <c r="H65" s="1100">
        <v>148.79</v>
      </c>
    </row>
    <row r="66" spans="2:8">
      <c r="B66" s="1093" t="s">
        <v>159</v>
      </c>
      <c r="C66" s="1094"/>
      <c r="D66" s="1095"/>
      <c r="E66" s="1099"/>
      <c r="F66" s="1096"/>
      <c r="G66" s="1096"/>
      <c r="H66" s="1097"/>
    </row>
    <row r="67" spans="2:8">
      <c r="B67" s="1098" t="s">
        <v>438</v>
      </c>
      <c r="C67" s="1094"/>
      <c r="D67" s="1095">
        <v>6170</v>
      </c>
      <c r="E67" s="1099">
        <v>7.17</v>
      </c>
      <c r="F67" s="1099">
        <v>7.25</v>
      </c>
      <c r="G67" s="1099">
        <v>7.25</v>
      </c>
      <c r="H67" s="1100">
        <v>7.25</v>
      </c>
    </row>
    <row r="68" spans="2:8">
      <c r="B68" s="1098" t="s">
        <v>160</v>
      </c>
      <c r="C68" s="1094"/>
      <c r="D68" s="1095">
        <v>6059</v>
      </c>
      <c r="E68" s="1099">
        <v>0.28999999999999998</v>
      </c>
      <c r="F68" s="1099">
        <v>1.18</v>
      </c>
      <c r="G68" s="1099">
        <v>1.18</v>
      </c>
      <c r="H68" s="1100">
        <v>1.0900000000000001</v>
      </c>
    </row>
    <row r="69" spans="2:8" hidden="1">
      <c r="B69" s="1098" t="s">
        <v>832</v>
      </c>
      <c r="C69" s="1094"/>
      <c r="D69" s="1095">
        <v>6173</v>
      </c>
      <c r="E69" s="1099">
        <v>0</v>
      </c>
      <c r="F69" s="1099">
        <v>0</v>
      </c>
      <c r="G69" s="1099">
        <v>0</v>
      </c>
      <c r="H69" s="1100">
        <v>0</v>
      </c>
    </row>
    <row r="70" spans="2:8">
      <c r="B70" s="1101" t="s">
        <v>151</v>
      </c>
      <c r="C70" s="1102"/>
      <c r="D70" s="1103"/>
      <c r="E70" s="1103"/>
      <c r="F70" s="1104"/>
      <c r="G70" s="1104"/>
      <c r="H70" s="1105"/>
    </row>
    <row r="71" spans="2:8">
      <c r="B71" s="1111">
        <v>10</v>
      </c>
      <c r="C71" s="1112"/>
      <c r="D71" s="1113"/>
      <c r="E71" s="1114">
        <f>SUM(E72:E75)</f>
        <v>45.04</v>
      </c>
      <c r="F71" s="1114">
        <f>SUM(F72:F75)</f>
        <v>64.363653074839306</v>
      </c>
      <c r="G71" s="1114">
        <f t="shared" ref="G71:H71" si="5">SUM(G72:G75)</f>
        <v>72.75112541961515</v>
      </c>
      <c r="H71" s="1115">
        <f t="shared" si="5"/>
        <v>74.984500153045872</v>
      </c>
    </row>
    <row r="72" spans="2:8">
      <c r="B72" s="1093" t="s">
        <v>91</v>
      </c>
      <c r="C72" s="1094"/>
      <c r="D72" s="1095"/>
      <c r="E72" s="1095"/>
      <c r="F72" s="1096"/>
      <c r="G72" s="1096"/>
      <c r="H72" s="1097"/>
    </row>
    <row r="73" spans="2:8">
      <c r="B73" s="1098" t="s">
        <v>214</v>
      </c>
      <c r="C73" s="1094"/>
      <c r="D73" s="1095">
        <v>6340</v>
      </c>
      <c r="E73" s="1099">
        <v>26.8</v>
      </c>
      <c r="F73" s="1099">
        <v>27.263653074839301</v>
      </c>
      <c r="G73" s="1099">
        <v>27.581125419615152</v>
      </c>
      <c r="H73" s="1100">
        <v>28.424500153045869</v>
      </c>
    </row>
    <row r="74" spans="2:8">
      <c r="B74" s="1098" t="s">
        <v>196</v>
      </c>
      <c r="C74" s="1094"/>
      <c r="D74" s="1095">
        <v>6262</v>
      </c>
      <c r="E74" s="1099">
        <v>18.239999999999998</v>
      </c>
      <c r="F74" s="1099">
        <v>37.1</v>
      </c>
      <c r="G74" s="1099">
        <v>45.17</v>
      </c>
      <c r="H74" s="1100">
        <v>46.56</v>
      </c>
    </row>
    <row r="75" spans="2:8" ht="15" thickBot="1">
      <c r="B75" s="1120" t="s">
        <v>151</v>
      </c>
      <c r="C75" s="1094"/>
      <c r="D75" s="1095"/>
      <c r="E75" s="1095"/>
      <c r="F75" s="1096"/>
      <c r="G75" s="1096"/>
      <c r="H75" s="1097"/>
    </row>
    <row r="76" spans="2:8" ht="19.95" customHeight="1" thickBot="1">
      <c r="B76" s="1203" t="s">
        <v>833</v>
      </c>
      <c r="C76" s="1204"/>
      <c r="D76" s="1205"/>
      <c r="E76" s="1126">
        <f>+E5+E10+E12+E16+E23+E33+E40+E59+E63+E71</f>
        <v>2038.5975000000003</v>
      </c>
      <c r="F76" s="1127">
        <f>+F5+F10+F12+F16+F23+F33+F40+F59+F63+F71</f>
        <v>2075.5144865451671</v>
      </c>
      <c r="G76" s="1127">
        <f>+G5+G10+G12+G16+G23+G33+G40+G59+G63+G71</f>
        <v>2144.5139034803424</v>
      </c>
      <c r="H76" s="1128">
        <f>+H5+H10+H12+H16+H23+H33+H40+H59+H63+H71</f>
        <v>2168.893652843838</v>
      </c>
    </row>
  </sheetData>
  <mergeCells count="3">
    <mergeCell ref="B2:H2"/>
    <mergeCell ref="B76:D76"/>
    <mergeCell ref="L23:M23"/>
  </mergeCells>
  <conditionalFormatting sqref="M24:M35">
    <cfRule type="cellIs" dxfId="61" priority="2" operator="equal">
      <formula>0</formula>
    </cfRule>
  </conditionalFormatting>
  <conditionalFormatting sqref="O24:O29">
    <cfRule type="cellIs" dxfId="60" priority="1" operator="equal">
      <formula>0</formula>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topLeftCell="A121" zoomScaleSheetLayoutView="100" workbookViewId="0">
      <selection activeCell="D134" sqref="D134"/>
    </sheetView>
  </sheetViews>
  <sheetFormatPr baseColWidth="10" defaultColWidth="11.44140625" defaultRowHeight="14.4"/>
  <cols>
    <col min="1" max="1" width="70.109375" style="187" customWidth="1"/>
    <col min="2" max="2" width="11.5546875" style="187" bestFit="1" customWidth="1"/>
    <col min="3" max="3" width="11.44140625" style="187" customWidth="1"/>
    <col min="4" max="4" width="24.109375" style="190" bestFit="1" customWidth="1"/>
    <col min="5" max="5" width="15.6640625" style="190" customWidth="1"/>
    <col min="6" max="7" width="16.44140625" style="187" bestFit="1" customWidth="1"/>
    <col min="8" max="16384" width="11.44140625" style="187"/>
  </cols>
  <sheetData>
    <row r="1" spans="1:5" ht="25.5" customHeight="1">
      <c r="B1" s="188" t="s">
        <v>3</v>
      </c>
      <c r="C1" s="188"/>
      <c r="D1" s="189"/>
    </row>
    <row r="2" spans="1:5" ht="21" customHeight="1">
      <c r="B2" s="191" t="s">
        <v>256</v>
      </c>
      <c r="C2" s="191"/>
      <c r="D2" s="192"/>
    </row>
    <row r="3" spans="1:5" ht="18.75" customHeight="1">
      <c r="B3" s="193" t="s">
        <v>257</v>
      </c>
      <c r="C3" s="193"/>
      <c r="D3" s="194"/>
    </row>
    <row r="4" spans="1:5" ht="18.75" customHeight="1" thickBot="1">
      <c r="B4" s="195" t="s">
        <v>258</v>
      </c>
      <c r="C4" s="195"/>
      <c r="D4" s="196"/>
    </row>
    <row r="5" spans="1:5" ht="18.600000000000001" thickBot="1">
      <c r="A5" s="197"/>
      <c r="B5" s="1208" t="s">
        <v>259</v>
      </c>
      <c r="C5" s="1209"/>
      <c r="D5" s="1209"/>
    </row>
    <row r="6" spans="1:5" ht="16.8" thickTop="1" thickBot="1">
      <c r="A6" s="198" t="s">
        <v>260</v>
      </c>
      <c r="B6" s="199" t="s">
        <v>261</v>
      </c>
      <c r="C6" s="200" t="s">
        <v>262</v>
      </c>
      <c r="D6" s="201" t="s">
        <v>263</v>
      </c>
      <c r="E6" s="202" t="s">
        <v>264</v>
      </c>
    </row>
    <row r="7" spans="1:5" ht="16.2" thickTop="1">
      <c r="A7" s="203" t="str">
        <f>+[22]Julio!A7</f>
        <v>CARGO POR  CONEXIÓN</v>
      </c>
      <c r="B7" s="204"/>
      <c r="C7" s="204"/>
      <c r="D7" s="205"/>
      <c r="E7" s="206"/>
    </row>
    <row r="8" spans="1:5" ht="15.6">
      <c r="A8" s="207" t="str">
        <f>+[22]Julio!A8</f>
        <v>CXS34.5 Barra Sencilla</v>
      </c>
      <c r="B8" s="208">
        <f>+[22]Julio!B8</f>
        <v>2</v>
      </c>
      <c r="C8" s="208">
        <f>+[22]Julio!C8</f>
        <v>28.42</v>
      </c>
      <c r="E8" s="209">
        <f>+[22]Julio!D8+[22]Agosto!D8+[22]Septiembre!D8+[22]Octubre!D8+[22]Noviembre!D8+[22]Diciembre!D8</f>
        <v>28420.019999999997</v>
      </c>
    </row>
    <row r="9" spans="1:5" ht="15.6">
      <c r="A9" s="207" t="str">
        <f>+[22]Julio!A9</f>
        <v>CXS34.5 Interruptor y Medio</v>
      </c>
      <c r="B9" s="208">
        <f>+[22]Julio!B9</f>
        <v>6</v>
      </c>
      <c r="C9" s="208">
        <f>+[22]Julio!C9</f>
        <v>46.46</v>
      </c>
      <c r="E9" s="209">
        <f>+[22]Julio!D9+[22]Agosto!D9+[22]Septiembre!D9+[22]Octubre!D9+[22]Noviembre!D9+[22]Diciembre!D9</f>
        <v>139380</v>
      </c>
    </row>
    <row r="10" spans="1:5" ht="15.6">
      <c r="A10" s="207" t="str">
        <f>+[22]Julio!A10</f>
        <v>CXS115 Interruptor y Medio</v>
      </c>
      <c r="B10" s="208">
        <f>+[22]Julio!B10</f>
        <v>4</v>
      </c>
      <c r="C10" s="208">
        <f>+[22]Julio!C10</f>
        <v>106.78</v>
      </c>
      <c r="E10" s="209">
        <f>+[22]Julio!D10+[22]Agosto!D10+[22]Septiembre!D10+[22]Octubre!D10+[22]Noviembre!D10+[22]Diciembre!D10</f>
        <v>213559.98000000004</v>
      </c>
    </row>
    <row r="11" spans="1:5" ht="15.6">
      <c r="A11" s="207" t="str">
        <f>+[22]Julio!A11</f>
        <v>CXS230 Interruptor y Medio</v>
      </c>
      <c r="B11" s="208">
        <f>+[22]Julio!B11</f>
        <v>2</v>
      </c>
      <c r="C11" s="208">
        <f>+[22]Julio!C11</f>
        <v>156.07</v>
      </c>
      <c r="E11" s="209">
        <f>+[22]Julio!D11+[22]Agosto!D11+[22]Septiembre!D11+[22]Octubre!D11+[22]Noviembre!D11+[22]Diciembre!D11</f>
        <v>156070.01999999999</v>
      </c>
    </row>
    <row r="12" spans="1:5" ht="15.6">
      <c r="A12" s="207" t="str">
        <f>+[22]Julio!A12</f>
        <v>CXTR Reductor 42/56/70 MVA</v>
      </c>
      <c r="B12" s="208">
        <f>+[22]Julio!B12</f>
        <v>140</v>
      </c>
      <c r="C12" s="208">
        <f>+[22]Julio!C12</f>
        <v>4.3600000000000003</v>
      </c>
      <c r="E12" s="209">
        <f>+[22]Julio!D12+[22]Agosto!D12+[22]Septiembre!D12+[22]Octubre!D12+[22]Noviembre!D12+[22]Diciembre!D12</f>
        <v>305200.01999999996</v>
      </c>
    </row>
    <row r="13" spans="1:5" ht="15.6">
      <c r="A13" s="207" t="str">
        <f>+[22]Julio!A13</f>
        <v>CXTR Reductor 30/40/50 MVA</v>
      </c>
      <c r="B13" s="208">
        <f>+[22]Julio!B13</f>
        <v>100</v>
      </c>
      <c r="C13" s="208">
        <f>+[22]Julio!C13</f>
        <v>4.3499999999999996</v>
      </c>
      <c r="E13" s="209">
        <f>+[22]Julio!D13+[22]Agosto!D13+[22]Septiembre!D13+[22]Octubre!D13+[22]Noviembre!D13+[22]Diciembre!D13</f>
        <v>108750</v>
      </c>
    </row>
    <row r="14" spans="1:5" ht="15.6">
      <c r="A14" s="207" t="str">
        <f>+[22]Julio!A14</f>
        <v>CXTR Reductor 60/80/100 MVA</v>
      </c>
      <c r="B14" s="208">
        <f>+[22]Julio!B14</f>
        <v>0</v>
      </c>
      <c r="C14" s="208">
        <f>+[22]Julio!C14</f>
        <v>0</v>
      </c>
      <c r="E14" s="209">
        <f>+[22]Julio!D14+[22]Agosto!D14+[22]Septiembre!D14+[22]Octubre!D14+[22]Noviembre!D14+[22]Diciembre!D14</f>
        <v>710000</v>
      </c>
    </row>
    <row r="15" spans="1:5" ht="16.2" thickBot="1">
      <c r="A15" s="210" t="str">
        <f>+[22]Julio!A15</f>
        <v>1 IP - 230  KV</v>
      </c>
      <c r="B15" s="211">
        <f>+[22]Julio!B15</f>
        <v>1</v>
      </c>
      <c r="C15" s="211">
        <f>+[22]Julio!C15</f>
        <v>203.63</v>
      </c>
      <c r="E15" s="209">
        <f>+[22]Julio!D15+[22]Agosto!D15+[22]Septiembre!D15+[22]Octubre!D15+[22]Noviembre!D15+[22]Diciembre!D15</f>
        <v>101815.01999999999</v>
      </c>
    </row>
    <row r="16" spans="1:5" ht="16.2" thickTop="1">
      <c r="A16" s="212" t="str">
        <f>+[22]Julio!A16</f>
        <v xml:space="preserve">CARGO POR  OPERACIÓN INTEGRADA </v>
      </c>
      <c r="B16" s="213"/>
      <c r="C16" s="213"/>
      <c r="D16" s="214"/>
      <c r="E16" s="215"/>
    </row>
    <row r="17" spans="1:5" ht="15.6">
      <c r="A17" s="216" t="str">
        <f>+[22]Julio!A17</f>
        <v>EDEMET Agente Consumidor</v>
      </c>
      <c r="B17" s="217">
        <f>+[22]Julio!B17</f>
        <v>677.91</v>
      </c>
      <c r="C17" s="217">
        <f>+[22]Julio!C17</f>
        <v>0.25209999999999999</v>
      </c>
      <c r="D17" s="218">
        <f>+[22]Julio!D17+[22]Agosto!D17+[22]Septiembre!D17+[22]Octubre!D17+[22]Noviembre!D17+[22]Diciembre!D17</f>
        <v>1025406.6599999999</v>
      </c>
      <c r="E17" s="219"/>
    </row>
    <row r="18" spans="1:5" ht="16.2" thickBot="1">
      <c r="A18" s="220" t="str">
        <f>+[22]Julio!A20</f>
        <v>ELEKTRA NORESTE, S.A. (ENSA)</v>
      </c>
      <c r="B18" s="199" t="s">
        <v>261</v>
      </c>
      <c r="C18" s="200" t="s">
        <v>262</v>
      </c>
      <c r="D18" s="201"/>
      <c r="E18" s="221"/>
    </row>
    <row r="19" spans="1:5" ht="16.2" thickTop="1">
      <c r="A19" s="222" t="str">
        <f>+[22]Julio!A21</f>
        <v>CARGO POR  CONEXIÓN</v>
      </c>
      <c r="B19" s="223"/>
      <c r="C19" s="223"/>
      <c r="D19" s="224"/>
      <c r="E19" s="225"/>
    </row>
    <row r="20" spans="1:5" ht="15.6">
      <c r="A20" s="226" t="str">
        <f>+[22]Julio!A22</f>
        <v xml:space="preserve">CARGO POR  OPERACIÓN INTEGRADA </v>
      </c>
      <c r="B20" s="227"/>
      <c r="C20" s="227"/>
      <c r="D20" s="228"/>
      <c r="E20" s="229"/>
    </row>
    <row r="21" spans="1:5" ht="16.2" thickBot="1">
      <c r="A21" s="230" t="str">
        <f>+[22]Julio!A23</f>
        <v>ELEKTRA_NE (Consumidor)</v>
      </c>
      <c r="B21" s="230">
        <f>+[22]Julio!B23</f>
        <v>511.98</v>
      </c>
      <c r="C21" s="230">
        <f>+[22]Julio!C23</f>
        <v>0.25209999999999999</v>
      </c>
      <c r="D21" s="231">
        <f>+[22]Julio!D23+[22]Agosto!D23+[22]Septiembre!D23+[22]Octubre!D23+[22]Noviembre!D23+[22]Diciembre!D23</f>
        <v>774420.96000000008</v>
      </c>
      <c r="E21" s="232"/>
    </row>
    <row r="22" spans="1:5" ht="16.2" thickTop="1">
      <c r="A22" s="233" t="s">
        <v>265</v>
      </c>
      <c r="B22" s="234" t="s">
        <v>261</v>
      </c>
      <c r="C22" s="235" t="s">
        <v>262</v>
      </c>
      <c r="D22" s="236"/>
      <c r="E22" s="237"/>
    </row>
    <row r="23" spans="1:5" ht="15.6">
      <c r="A23" s="238" t="str">
        <f>+[22]Julio!A27</f>
        <v>CARGO POR  CONEXIÓN</v>
      </c>
      <c r="B23" s="239"/>
      <c r="C23" s="240"/>
      <c r="D23" s="241"/>
      <c r="E23" s="242"/>
    </row>
    <row r="24" spans="1:5" ht="15.6">
      <c r="A24" s="243" t="str">
        <f>+[22]Julio!A28</f>
        <v>CXS34.5 Interruptor y Medio</v>
      </c>
      <c r="B24" s="244">
        <f>+[22]Julio!B28</f>
        <v>8</v>
      </c>
      <c r="C24" s="244">
        <f>+[22]Julio!C28</f>
        <v>46.46</v>
      </c>
      <c r="E24" s="209">
        <f>+[22]Julio!D28+[22]Agosto!D28+[22]Septiembre!D28+[22]Octubre!D28+[22]Noviembre!D28+[22]Diciembre!D28</f>
        <v>185839.98000000004</v>
      </c>
    </row>
    <row r="25" spans="1:5" ht="15.6">
      <c r="A25" s="243" t="str">
        <f>+[22]Julio!A29</f>
        <v>CXS115 Barra Sencilla</v>
      </c>
      <c r="B25" s="244">
        <f>+[22]Julio!B29</f>
        <v>2</v>
      </c>
      <c r="C25" s="244">
        <f>+[22]Julio!C29</f>
        <v>73.760000000000005</v>
      </c>
      <c r="E25" s="209">
        <f>+[22]Julio!D29+[22]Agosto!D29+[22]Septiembre!D29+[22]Octubre!D29+[22]Noviembre!D29+[22]Diciembre!D29</f>
        <v>2667.48</v>
      </c>
    </row>
    <row r="26" spans="1:5" ht="15.6">
      <c r="A26" s="243" t="str">
        <f>+[22]Julio!A30</f>
        <v>CXL 115 KV Circuito Sencillo 636 ACSR</v>
      </c>
      <c r="B26" s="244">
        <f>+[22]Julio!B30</f>
        <v>0.5</v>
      </c>
      <c r="C26" s="244">
        <f>+[22]Julio!C30</f>
        <v>10.67</v>
      </c>
      <c r="E26" s="209">
        <f>+[22]Julio!D30+[22]Agosto!D30+[22]Septiembre!D30+[22]Octubre!D30+[22]Noviembre!D30+[22]Diciembre!D30</f>
        <v>73759.98</v>
      </c>
    </row>
    <row r="27" spans="1:5" ht="15.6">
      <c r="A27" s="243" t="str">
        <f>+[22]Julio!A31</f>
        <v>CXTR Reductor 20/24 MVA</v>
      </c>
      <c r="B27" s="244">
        <f>+[22]Julio!B31</f>
        <v>9.5928000000000004</v>
      </c>
      <c r="C27" s="244">
        <f>+[22]Julio!C31</f>
        <v>4.05</v>
      </c>
      <c r="E27" s="209">
        <f>+[22]Julio!D31+[22]Agosto!D31+[22]Septiembre!D31+[22]Octubre!D31+[22]Noviembre!D31+[22]Diciembre!D31</f>
        <v>19425.420000000002</v>
      </c>
    </row>
    <row r="28" spans="1:5" ht="15.6">
      <c r="A28" s="243" t="str">
        <f>+[22]Julio!A32</f>
        <v>CXL 115 KV Circuito Sencillo 636 ACSR</v>
      </c>
      <c r="B28" s="244">
        <f>+[22]Julio!B32</f>
        <v>3.0960000000000001</v>
      </c>
      <c r="C28" s="244">
        <f>+[22]Julio!C32</f>
        <v>10.67</v>
      </c>
      <c r="E28" s="245">
        <f>+[22]Julio!D32+[22]Agosto!D32+[22]Septiembre!D32+[22]Octubre!D32+[22]Noviembre!D32+[22]Diciembre!D32</f>
        <v>16517.16</v>
      </c>
    </row>
    <row r="29" spans="1:5" ht="15.6">
      <c r="A29" s="246" t="str">
        <f>+[22]Julio!A33</f>
        <v xml:space="preserve">CARGO POR  OPERACIÓN INTEGRADA </v>
      </c>
      <c r="B29" s="247"/>
      <c r="C29" s="247"/>
      <c r="D29" s="248"/>
      <c r="E29" s="248"/>
    </row>
    <row r="30" spans="1:5" ht="15.6">
      <c r="A30" s="243" t="str">
        <f>+[22]Julio!A34</f>
        <v>EDECHI Agente Consumidor</v>
      </c>
      <c r="B30" s="244">
        <f>+[22]Julio!B34</f>
        <v>110.84</v>
      </c>
      <c r="C30" s="244">
        <f>+[22]Julio!C34</f>
        <v>0.25209999999999999</v>
      </c>
      <c r="D30" s="249">
        <f>+[22]Julio!D34+[22]Agosto!D34+[22]Septiembre!D34+[22]Octubre!D34+[22]Noviembre!D34+[22]Diciembre!D34</f>
        <v>167656.56</v>
      </c>
      <c r="E30" s="250"/>
    </row>
    <row r="31" spans="1:5" ht="15.6">
      <c r="A31" s="243" t="str">
        <f>+[22]Julio!A35</f>
        <v xml:space="preserve">   -  Zona 10 (S/E Cañazas)</v>
      </c>
      <c r="B31" s="244">
        <f>+[22]Julio!B35</f>
        <v>21.5</v>
      </c>
      <c r="C31" s="244">
        <f>+[22]Julio!C35</f>
        <v>0.25209999999999999</v>
      </c>
      <c r="D31" s="249">
        <f>+[22]Julio!D35+[22]Agosto!D35+[22]Septiembre!D35+[22]Octubre!D35+[22]Noviembre!D35+[22]Diciembre!D35</f>
        <v>32520.9</v>
      </c>
      <c r="E31" s="251"/>
    </row>
    <row r="32" spans="1:5" ht="15.6">
      <c r="A32" s="243"/>
      <c r="B32" s="244"/>
      <c r="C32" s="244"/>
      <c r="D32" s="249"/>
      <c r="E32" s="252"/>
    </row>
    <row r="33" spans="1:5" ht="15.6">
      <c r="A33" s="409" t="s">
        <v>266</v>
      </c>
      <c r="B33" s="410"/>
      <c r="C33" s="410"/>
      <c r="D33" s="410"/>
      <c r="E33" s="411"/>
    </row>
    <row r="34" spans="1:5" ht="16.2" thickBot="1">
      <c r="A34" s="220" t="s">
        <v>267</v>
      </c>
      <c r="B34" s="199" t="s">
        <v>261</v>
      </c>
      <c r="C34" s="200" t="s">
        <v>262</v>
      </c>
      <c r="D34" s="201"/>
      <c r="E34" s="202"/>
    </row>
    <row r="35" spans="1:5" ht="16.2" thickTop="1">
      <c r="A35" s="243" t="str">
        <f>+[22]Julio!A40</f>
        <v xml:space="preserve">CARGO POR  OPERACIÓN INTEGRADA </v>
      </c>
      <c r="B35" s="244"/>
      <c r="C35" s="244"/>
      <c r="D35" s="249"/>
      <c r="E35" s="251"/>
    </row>
    <row r="36" spans="1:5" ht="15.6">
      <c r="A36" s="243" t="str">
        <f>+[22]Julio!A41</f>
        <v>Fortuna (Generador)</v>
      </c>
      <c r="B36" s="244">
        <f>+[22]Julio!B41</f>
        <v>300</v>
      </c>
      <c r="C36" s="244">
        <f>+[22]Julio!C41</f>
        <v>0.1681</v>
      </c>
      <c r="D36" s="249">
        <f>+[22]Julio!D41+[22]Agosto!D41+[22]Septiembre!D41+[22]Octubre!D41+[22]Noviembre!D41+[22]Diciembre!D41</f>
        <v>302580</v>
      </c>
      <c r="E36" s="251"/>
    </row>
    <row r="37" spans="1:5" ht="16.2" thickBot="1">
      <c r="A37" s="243"/>
      <c r="B37" s="244"/>
      <c r="C37" s="244"/>
      <c r="D37" s="249"/>
      <c r="E37" s="251"/>
    </row>
    <row r="38" spans="1:5" ht="16.8" thickTop="1" thickBot="1">
      <c r="A38" s="198" t="s">
        <v>268</v>
      </c>
      <c r="B38" s="253" t="s">
        <v>261</v>
      </c>
      <c r="C38" s="254" t="s">
        <v>262</v>
      </c>
      <c r="D38" s="255"/>
      <c r="E38" s="256"/>
    </row>
    <row r="39" spans="1:5" ht="16.2" thickTop="1">
      <c r="A39" s="243" t="str">
        <f>+[22]Julio!A45</f>
        <v xml:space="preserve">CARGO POR  CONEXIÓN </v>
      </c>
      <c r="B39" s="244">
        <f>+[22]Julio!B45</f>
        <v>0</v>
      </c>
      <c r="C39" s="244" t="str">
        <f>+[22]Julio!C45</f>
        <v xml:space="preserve"> </v>
      </c>
      <c r="D39" s="249"/>
      <c r="E39" s="251"/>
    </row>
    <row r="40" spans="1:5" ht="15.6">
      <c r="A40" s="243" t="str">
        <f>+[22]Julio!A46</f>
        <v>CXL 115 KV Circuito Sencillo L/T Caldera-LA ESTRELLA</v>
      </c>
      <c r="B40" s="244">
        <f>+[22]Julio!B46</f>
        <v>5.8</v>
      </c>
      <c r="C40" s="244">
        <f>+[22]Julio!C46</f>
        <v>10.67</v>
      </c>
      <c r="E40" s="209">
        <f>+[22]Julio!D46+[22]Agosto!D46+[22]Septiembre!D46+[22]Octubre!D46+[22]Noviembre!D46+[22]Diciembre!D46</f>
        <v>30943.019999999997</v>
      </c>
    </row>
    <row r="41" spans="1:5" ht="15.6">
      <c r="A41" s="243" t="str">
        <f>+[22]Julio!A47</f>
        <v>CXL 115 KV Circuito Sencillo L/T Caldera-LOS VALLES</v>
      </c>
      <c r="B41" s="244">
        <f>+[22]Julio!B47</f>
        <v>2</v>
      </c>
      <c r="C41" s="244">
        <f>+[22]Julio!C47</f>
        <v>10.67</v>
      </c>
      <c r="E41" s="209">
        <f>+[22]Julio!D47+[22]Agosto!D47+[22]Septiembre!D47+[22]Octubre!D47+[22]Noviembre!D47+[22]Diciembre!D47</f>
        <v>10669.98</v>
      </c>
    </row>
    <row r="42" spans="1:5" ht="15.6">
      <c r="A42" s="243" t="str">
        <f>+[22]Julio!A48</f>
        <v xml:space="preserve">CARGO POR  OPERACIÓN INTEGRADA </v>
      </c>
      <c r="B42" s="244"/>
      <c r="C42" s="244"/>
      <c r="E42" s="209"/>
    </row>
    <row r="43" spans="1:5" ht="15.6">
      <c r="A43" s="243" t="str">
        <f>+[22]Julio!A49</f>
        <v xml:space="preserve">   AES- Generador</v>
      </c>
      <c r="B43" s="244">
        <f>+[22]Julio!B49</f>
        <v>481.96</v>
      </c>
      <c r="C43" s="244">
        <f>+[22]Julio!C49</f>
        <v>0.1681</v>
      </c>
      <c r="D43" s="209">
        <v>486104.87999999995</v>
      </c>
      <c r="E43" s="209"/>
    </row>
    <row r="44" spans="1:5" ht="15.6">
      <c r="A44" s="243" t="str">
        <f>+[22]Julio!A50</f>
        <v xml:space="preserve">   AES - CEMENTO PANAMA - Consumidor   (Gran Cliente - CPSA)</v>
      </c>
      <c r="B44" s="244">
        <f>+[22]Julio!B50</f>
        <v>8.25</v>
      </c>
      <c r="C44" s="244">
        <f>+[22]Julio!C50</f>
        <v>0.25209999999999999</v>
      </c>
      <c r="D44" s="209">
        <v>12478.98</v>
      </c>
      <c r="E44" s="209"/>
    </row>
    <row r="45" spans="1:5" ht="15.6">
      <c r="A45" s="243" t="str">
        <f>+[22]Julio!A51</f>
        <v xml:space="preserve">   AES - BOFCO - Consumidor   (Gran Cliente)</v>
      </c>
      <c r="B45" s="244">
        <f>+[22]Julio!B51</f>
        <v>13.39</v>
      </c>
      <c r="C45" s="244">
        <f>+[22]Julio!C51</f>
        <v>0.25209999999999999</v>
      </c>
      <c r="D45" s="209">
        <v>20253.719999999998</v>
      </c>
      <c r="E45" s="209"/>
    </row>
    <row r="46" spans="1:5" ht="16.2" thickBot="1">
      <c r="A46" s="243"/>
      <c r="B46" s="244"/>
      <c r="C46" s="244"/>
      <c r="D46" s="249"/>
      <c r="E46" s="251"/>
    </row>
    <row r="47" spans="1:5" ht="16.8" thickTop="1" thickBot="1">
      <c r="A47" s="198" t="s">
        <v>269</v>
      </c>
      <c r="B47" s="253" t="s">
        <v>261</v>
      </c>
      <c r="C47" s="254" t="s">
        <v>262</v>
      </c>
      <c r="D47" s="255"/>
      <c r="E47" s="256"/>
    </row>
    <row r="48" spans="1:5" ht="16.2" thickTop="1">
      <c r="A48" s="243" t="str">
        <f>+[22]Julio!A55</f>
        <v xml:space="preserve">CARGO POR  CONEXIÓN </v>
      </c>
      <c r="B48" s="244"/>
      <c r="C48" s="244"/>
      <c r="D48" s="249"/>
      <c r="E48" s="251"/>
    </row>
    <row r="49" spans="1:5" ht="15.6">
      <c r="A49" s="243" t="str">
        <f>+[22]Julio!A56</f>
        <v xml:space="preserve">CARGO POR  OPERACIÓN INTEGRADA </v>
      </c>
      <c r="B49" s="244"/>
      <c r="C49" s="244"/>
      <c r="D49" s="249"/>
      <c r="E49" s="251"/>
    </row>
    <row r="50" spans="1:5" ht="15.6">
      <c r="A50" s="243" t="str">
        <f>+[22]Julio!A57</f>
        <v>Bahía Las Minas (Generador)</v>
      </c>
      <c r="B50" s="244">
        <f>+[22]Julio!B57</f>
        <v>280</v>
      </c>
      <c r="C50" s="244">
        <f>+[22]Julio!C57</f>
        <v>0.1681</v>
      </c>
      <c r="D50" s="249">
        <f>+[22]Julio!D57+[22]Agosto!D57+[22]Septiembre!D57+[22]Octubre!D57+[22]Noviembre!D57+[22]Diciembre!D57</f>
        <v>282408</v>
      </c>
      <c r="E50" s="251"/>
    </row>
    <row r="51" spans="1:5" ht="16.2" thickBot="1">
      <c r="A51" s="243"/>
      <c r="B51" s="244"/>
      <c r="C51" s="244"/>
      <c r="D51" s="249"/>
      <c r="E51" s="251"/>
    </row>
    <row r="52" spans="1:5" ht="16.8" thickTop="1" thickBot="1">
      <c r="A52" s="198" t="s">
        <v>270</v>
      </c>
      <c r="B52" s="253" t="s">
        <v>261</v>
      </c>
      <c r="C52" s="254" t="s">
        <v>262</v>
      </c>
      <c r="D52" s="255"/>
      <c r="E52" s="256"/>
    </row>
    <row r="53" spans="1:5" ht="16.2" thickTop="1">
      <c r="A53" s="243" t="str">
        <f>+[22]Julio!A61</f>
        <v>CARGO POR  CONEXIÓN</v>
      </c>
      <c r="B53" s="244"/>
      <c r="C53" s="244"/>
      <c r="D53" s="249"/>
      <c r="E53" s="251"/>
    </row>
    <row r="54" spans="1:5" ht="15.6">
      <c r="A54" s="243" t="str">
        <f>+[22]Julio!A62</f>
        <v xml:space="preserve">CARGO POR  OPERACIÓN INTEGRADA </v>
      </c>
      <c r="B54" s="244"/>
      <c r="C54" s="244"/>
      <c r="D54" s="249"/>
      <c r="E54" s="251"/>
    </row>
    <row r="55" spans="1:5" ht="15.6">
      <c r="A55" s="243" t="str">
        <f>+[22]Julio!A63</f>
        <v>Pan_Am (Generador)</v>
      </c>
      <c r="B55" s="244">
        <f>+[22]Julio!B63</f>
        <v>96</v>
      </c>
      <c r="C55" s="244">
        <f>+[22]Julio!C63</f>
        <v>0.1681</v>
      </c>
      <c r="D55" s="249">
        <f>+[22]Julio!D63+[22]Agosto!D63+[22]Septiembre!D63+[22]Octubre!D63+[22]Noviembre!D63+[22]Diciembre!D63</f>
        <v>96825.600000000006</v>
      </c>
      <c r="E55" s="251"/>
    </row>
    <row r="56" spans="1:5" ht="16.2" thickBot="1">
      <c r="A56" s="243"/>
      <c r="B56" s="244"/>
      <c r="C56" s="244"/>
      <c r="D56" s="249"/>
      <c r="E56" s="251"/>
    </row>
    <row r="57" spans="1:5" ht="16.8" thickTop="1" thickBot="1">
      <c r="A57" s="198" t="s">
        <v>271</v>
      </c>
      <c r="B57" s="253" t="s">
        <v>261</v>
      </c>
      <c r="C57" s="254" t="s">
        <v>262</v>
      </c>
      <c r="D57" s="257"/>
      <c r="E57" s="256"/>
    </row>
    <row r="58" spans="1:5" ht="16.2" thickTop="1">
      <c r="A58" s="243" t="str">
        <f>+[22]Julio!A67</f>
        <v>CARGO POR  CONEXIÓN</v>
      </c>
      <c r="B58" s="244"/>
      <c r="C58" s="244"/>
      <c r="D58" s="249"/>
      <c r="E58" s="251"/>
    </row>
    <row r="59" spans="1:5" ht="15.6">
      <c r="A59" s="243" t="str">
        <f>+[22]Julio!A68</f>
        <v xml:space="preserve">CARGO POR  OPERACIÓN INTEGRADA </v>
      </c>
      <c r="B59" s="244">
        <f>+[22]Julio!B68</f>
        <v>127</v>
      </c>
      <c r="C59" s="244">
        <f>+[22]Julio!C68</f>
        <v>0.1681</v>
      </c>
      <c r="D59" s="249">
        <f>+[22]Julio!D68+[22]Agosto!D68+[22]Septiembre!D68+[22]Octubre!D68+[22]Noviembre!D68+[22]Diciembre!D68</f>
        <v>128092.2</v>
      </c>
      <c r="E59" s="251"/>
    </row>
    <row r="60" spans="1:5" ht="16.2" thickBot="1">
      <c r="A60" s="243"/>
      <c r="B60" s="244"/>
      <c r="C60" s="244"/>
      <c r="D60" s="249"/>
      <c r="E60" s="251"/>
    </row>
    <row r="61" spans="1:5" ht="16.8" thickTop="1" thickBot="1">
      <c r="A61" s="198" t="str">
        <f>+[22]Julio!A71</f>
        <v>PEDREGAL POWER Co. (PEDREGAL)</v>
      </c>
      <c r="B61" s="253" t="str">
        <f>+[22]Julio!B71</f>
        <v>Cantidad</v>
      </c>
      <c r="C61" s="254" t="str">
        <f>+[22]Julio!C71</f>
        <v xml:space="preserve">Cargos </v>
      </c>
      <c r="D61" s="255"/>
      <c r="E61" s="256"/>
    </row>
    <row r="62" spans="1:5" ht="16.2" thickTop="1">
      <c r="A62" s="243" t="str">
        <f>+[22]Julio!A72</f>
        <v>CARGO POR  CONEXIÓN</v>
      </c>
      <c r="B62" s="244"/>
      <c r="C62" s="244"/>
      <c r="D62" s="249"/>
      <c r="E62" s="251">
        <v>0</v>
      </c>
    </row>
    <row r="63" spans="1:5" ht="15.6">
      <c r="A63" s="243" t="str">
        <f>+[22]Julio!A73</f>
        <v xml:space="preserve">CARGO POR  OPERACIÓN INTEGRADA </v>
      </c>
      <c r="B63" s="244"/>
      <c r="C63" s="244"/>
      <c r="D63" s="249"/>
      <c r="E63" s="251"/>
    </row>
    <row r="64" spans="1:5" ht="15.6">
      <c r="A64" s="243" t="str">
        <f>+[22]Julio!A74</f>
        <v>Pedregal Power Co. (Generador)</v>
      </c>
      <c r="B64" s="244">
        <f>+[22]Julio!B74</f>
        <v>53.53</v>
      </c>
      <c r="C64" s="244">
        <f>+[22]Julio!C74</f>
        <v>0.1681</v>
      </c>
      <c r="D64" s="249">
        <f>+[22]Julio!D74+[22]Agosto!D74+[22]Septiembre!D74+[22]Octubre!D74+[22]Noviembre!D74+[22]Diciembre!D74</f>
        <v>53990.34</v>
      </c>
      <c r="E64" s="251"/>
    </row>
    <row r="65" spans="1:5" ht="15.6">
      <c r="A65" s="243"/>
      <c r="B65" s="244"/>
      <c r="C65" s="244"/>
      <c r="D65" s="249"/>
      <c r="E65" s="251"/>
    </row>
    <row r="66" spans="1:5" ht="16.2" thickBot="1">
      <c r="A66" s="220" t="str">
        <f>+[22]Julio!A77</f>
        <v>EMPRESA DE GENERACIÓN ELÉCTRICA, S.A. (EGESA)</v>
      </c>
      <c r="B66" s="199" t="str">
        <f>+[22]Julio!B77</f>
        <v>Cantidad</v>
      </c>
      <c r="C66" s="200" t="str">
        <f>+[22]Julio!C77</f>
        <v xml:space="preserve">Cargos </v>
      </c>
      <c r="D66" s="201"/>
      <c r="E66" s="221"/>
    </row>
    <row r="67" spans="1:5" ht="16.2" thickTop="1">
      <c r="A67" s="243" t="str">
        <f>+[22]Julio!A78</f>
        <v xml:space="preserve">CARGO POR  CONEXIÓN  </v>
      </c>
      <c r="B67" s="244"/>
      <c r="C67" s="244"/>
      <c r="E67" s="209">
        <f>+[22]Julio!D78+[22]Agosto!D78+[22]Septiembre!D78+[22]Octubre!D78+[22]Noviembre!D78+[22]Diciembre!D78</f>
        <v>0</v>
      </c>
    </row>
    <row r="68" spans="1:5" ht="15.6">
      <c r="A68" s="243" t="str">
        <f>+[22]Julio!A79</f>
        <v xml:space="preserve">CARGO POR  OPERACIÓN INTEGRADA </v>
      </c>
      <c r="B68" s="244"/>
      <c r="C68" s="244"/>
      <c r="D68" s="249"/>
      <c r="E68" s="251"/>
    </row>
    <row r="69" spans="1:5" ht="15.6">
      <c r="A69" s="243" t="str">
        <f>+[22]Julio!A80</f>
        <v xml:space="preserve">  EGESA (Generador)</v>
      </c>
      <c r="B69" s="244">
        <f>+[22]Julio!B80</f>
        <v>40</v>
      </c>
      <c r="C69" s="244">
        <f>+[22]Julio!C80</f>
        <v>0.1681</v>
      </c>
      <c r="D69" s="249">
        <f>+[22]Julio!D80+[22]Agosto!D80+[22]Septiembre!D80+[22]Octubre!D80+[22]Noviembre!D80+[22]Diciembre!D80</f>
        <v>40344</v>
      </c>
      <c r="E69" s="251"/>
    </row>
    <row r="70" spans="1:5" ht="15.6">
      <c r="A70" s="243"/>
      <c r="B70" s="244"/>
      <c r="C70" s="244"/>
      <c r="D70" s="249"/>
      <c r="E70" s="251"/>
    </row>
    <row r="71" spans="1:5" ht="16.2" thickBot="1">
      <c r="A71" s="220" t="str">
        <f>+[22]Julio!A83</f>
        <v>TERMICA DEL CARIBE, S.A. (TERCARIBE)</v>
      </c>
      <c r="B71" s="199" t="str">
        <f>+[22]Julio!B83</f>
        <v>Cantidad</v>
      </c>
      <c r="C71" s="200" t="str">
        <f>+[22]Julio!C83</f>
        <v xml:space="preserve">Cargos </v>
      </c>
      <c r="D71" s="201"/>
      <c r="E71" s="221"/>
    </row>
    <row r="72" spans="1:5" ht="16.2" thickTop="1">
      <c r="A72" s="243" t="str">
        <f>+[22]Julio!A84</f>
        <v xml:space="preserve">CARGO POR  CONEXIÓN </v>
      </c>
      <c r="B72" s="244"/>
      <c r="C72" s="244"/>
      <c r="E72" s="209">
        <f>+[22]Julio!D84+[22]Agosto!D84+[22]Septiembre!D84+[22]Octubre!D84+[22]Noviembre!D84+[22]Diciembre!D84</f>
        <v>0</v>
      </c>
    </row>
    <row r="73" spans="1:5" ht="15.6">
      <c r="A73" s="243" t="str">
        <f>+[22]Julio!A85</f>
        <v xml:space="preserve">CARGO POR  OPERACIÓN INTEGRADA </v>
      </c>
      <c r="B73" s="244"/>
      <c r="C73" s="244"/>
      <c r="D73" s="249"/>
      <c r="E73" s="251"/>
    </row>
    <row r="74" spans="1:5" ht="15.6">
      <c r="A74" s="243" t="str">
        <f>+[22]Julio!A86</f>
        <v xml:space="preserve">  TERCARIBE (Generador)</v>
      </c>
      <c r="B74" s="244">
        <f>+[22]Julio!B86</f>
        <v>50.35</v>
      </c>
      <c r="C74" s="244">
        <f>+[22]Julio!C86</f>
        <v>0.1681</v>
      </c>
      <c r="D74" s="249">
        <f>+[22]Julio!D86+[22]Agosto!D86+[22]Septiembre!D86+[22]Octubre!D85+[22]Noviembre!D86+[22]Diciembre!D86</f>
        <v>50783.039999999994</v>
      </c>
      <c r="E74" s="251"/>
    </row>
    <row r="75" spans="1:5" ht="15.6">
      <c r="A75" s="243"/>
      <c r="B75" s="244"/>
      <c r="C75" s="244"/>
      <c r="D75" s="249"/>
      <c r="E75" s="251"/>
    </row>
    <row r="76" spans="1:5" ht="16.2" thickBot="1">
      <c r="A76" s="220" t="str">
        <f>+[22]Julio!A89</f>
        <v>GENERADORA DEL ATLÁNTICO (GENA)</v>
      </c>
      <c r="B76" s="199" t="str">
        <f>+[22]Julio!B89</f>
        <v>Cantidad</v>
      </c>
      <c r="C76" s="200" t="str">
        <f>+[22]Julio!C89</f>
        <v xml:space="preserve">Cargos </v>
      </c>
      <c r="D76" s="201"/>
      <c r="E76" s="221"/>
    </row>
    <row r="77" spans="1:5" ht="16.2" thickTop="1">
      <c r="A77" s="243" t="str">
        <f>+[22]Julio!A90</f>
        <v xml:space="preserve">CARGO POR  CONEXIÓN </v>
      </c>
      <c r="B77" s="244"/>
      <c r="C77" s="244"/>
      <c r="E77" s="209">
        <f>+[22]Julio!D90+[22]Agosto!D90+[22]Septiembre!D90+[22]Octubre!D90+[22]Noviembre!D90+[22]Diciembre!D90</f>
        <v>0</v>
      </c>
    </row>
    <row r="78" spans="1:5" ht="15.6">
      <c r="A78" s="243" t="str">
        <f>+[22]Julio!A91</f>
        <v xml:space="preserve">CARGO POR  OPERACIÓN INTEGRADA </v>
      </c>
      <c r="B78" s="244"/>
      <c r="C78" s="244"/>
      <c r="D78" s="249"/>
      <c r="E78" s="251"/>
    </row>
    <row r="79" spans="1:5" ht="15.6">
      <c r="A79" s="243" t="str">
        <f>+[22]Julio!A92</f>
        <v xml:space="preserve">  GENA (Generador)</v>
      </c>
      <c r="B79" s="244">
        <f>+[22]Julio!B92</f>
        <v>150</v>
      </c>
      <c r="C79" s="244">
        <f>+[22]Julio!C92</f>
        <v>0.1681</v>
      </c>
      <c r="D79" s="249">
        <f>+[22]Julio!D92+[22]Agosto!D92+[22]Septiembre!D92+[22]Octubre!D92+[22]Noviembre!D92+[22]Diciembre!D92</f>
        <v>151290</v>
      </c>
      <c r="E79" s="251"/>
    </row>
    <row r="80" spans="1:5" ht="15.6">
      <c r="A80" s="243"/>
      <c r="B80" s="244"/>
      <c r="C80" s="244"/>
      <c r="D80" s="249"/>
      <c r="E80" s="251"/>
    </row>
    <row r="81" spans="1:5" ht="16.2" thickBot="1">
      <c r="A81" s="220" t="str">
        <f>+[22]Julio!A95</f>
        <v>CALDERA ENERGY CORP. (MENDRE)</v>
      </c>
      <c r="B81" s="199" t="str">
        <f>+[22]Julio!B95</f>
        <v>Cantidad</v>
      </c>
      <c r="C81" s="200" t="str">
        <f>+[22]Julio!C95</f>
        <v xml:space="preserve">Cargos </v>
      </c>
      <c r="D81" s="201"/>
      <c r="E81" s="221"/>
    </row>
    <row r="82" spans="1:5" ht="16.2" thickTop="1">
      <c r="A82" s="243" t="str">
        <f>+[22]Julio!A96</f>
        <v xml:space="preserve">CARGO POR  CONEXIÓN </v>
      </c>
      <c r="B82" s="244"/>
      <c r="C82" s="244"/>
      <c r="E82" s="209">
        <f>+[22]Julio!D96+[22]Agosto!D96+[22]Septiembre!D96+[22]Octubre!D96+[22]Noviembre!D96+[22]Diciembre!D96</f>
        <v>0</v>
      </c>
    </row>
    <row r="83" spans="1:5" ht="15.6">
      <c r="A83" s="243" t="str">
        <f>+[22]Julio!A97</f>
        <v xml:space="preserve">CARGO POR  OPERACIÓN INTEGRADA </v>
      </c>
      <c r="B83" s="244"/>
      <c r="C83" s="244"/>
      <c r="D83" s="249"/>
      <c r="E83" s="251"/>
    </row>
    <row r="84" spans="1:5" ht="15.6">
      <c r="A84" s="243" t="str">
        <f>+[22]Julio!A98</f>
        <v xml:space="preserve">  MENDRE (Generador)</v>
      </c>
      <c r="B84" s="244">
        <f>+[22]Julio!B98</f>
        <v>9.75</v>
      </c>
      <c r="C84" s="244">
        <f>+[22]Julio!C98</f>
        <v>0.1681</v>
      </c>
      <c r="D84" s="249">
        <f>+[22]Julio!D98+[22]Agosto!D98+[22]Septiembre!D98+[22]Octubre!D98+[22]Noviembre!D98+[22]Diciembre!D98</f>
        <v>9833.8799999999992</v>
      </c>
      <c r="E84" s="251"/>
    </row>
    <row r="85" spans="1:5" ht="15.6">
      <c r="A85" s="243"/>
      <c r="B85" s="244"/>
      <c r="C85" s="244"/>
      <c r="D85" s="249"/>
      <c r="E85" s="251"/>
    </row>
    <row r="86" spans="1:5" ht="16.2" thickBot="1">
      <c r="A86" s="220" t="str">
        <f>+[22]Julio!A101</f>
        <v>AES CHANGUINOLA, S.A. (CHAN I)</v>
      </c>
      <c r="B86" s="199" t="str">
        <f>+[22]Julio!B101</f>
        <v>Cantidad</v>
      </c>
      <c r="C86" s="200" t="str">
        <f>+[22]Julio!C101</f>
        <v xml:space="preserve">Cargos </v>
      </c>
      <c r="D86" s="201"/>
      <c r="E86" s="221"/>
    </row>
    <row r="87" spans="1:5" ht="16.2" thickTop="1">
      <c r="A87" s="243" t="str">
        <f>+[22]Julio!A102</f>
        <v xml:space="preserve">CARGO POR  CONEXIÓN </v>
      </c>
      <c r="B87" s="244"/>
      <c r="C87" s="244"/>
      <c r="E87" s="209">
        <f>+[22]Julio!D102+[22]Agosto!D102+[22]Septiembre!D102+[22]Octubre!D102+[22]Noviembre!D102+[22]Diciembre!D102</f>
        <v>0</v>
      </c>
    </row>
    <row r="88" spans="1:5" ht="15.6">
      <c r="A88" s="243" t="str">
        <f>+[22]Julio!A103</f>
        <v xml:space="preserve">CARGO POR  OPERACIÓN INTEGRADA </v>
      </c>
      <c r="B88" s="244"/>
      <c r="C88" s="244"/>
      <c r="D88" s="249"/>
      <c r="E88" s="251"/>
    </row>
    <row r="89" spans="1:5" ht="15.6">
      <c r="A89" s="243" t="str">
        <f>+[22]Julio!A104</f>
        <v xml:space="preserve">  CHAN I(Generador)</v>
      </c>
      <c r="B89" s="244">
        <f>+[22]Julio!B104</f>
        <v>222.58</v>
      </c>
      <c r="C89" s="244">
        <f>+[22]Julio!C104</f>
        <v>0.1681</v>
      </c>
      <c r="D89" s="249">
        <f>+[22]Julio!D104+[22]Agosto!D104+[22]Septiembre!D104+[22]Octubre!D104+[22]Noviembre!D104+[22]Diciembre!D104</f>
        <v>224494.2</v>
      </c>
      <c r="E89" s="251"/>
    </row>
    <row r="90" spans="1:5" ht="15.6">
      <c r="A90" s="243"/>
      <c r="B90" s="244"/>
      <c r="C90" s="244"/>
      <c r="D90" s="249"/>
      <c r="E90" s="251"/>
    </row>
    <row r="91" spans="1:5" ht="16.2" thickBot="1">
      <c r="A91" s="220" t="str">
        <f>+[22]Julio!A107</f>
        <v>GENERADORA PEDREGALITO, S.A. (PEDREGALITO I)</v>
      </c>
      <c r="B91" s="199" t="str">
        <f>+[22]Julio!B107</f>
        <v>Cantidad</v>
      </c>
      <c r="C91" s="200" t="str">
        <f>+[22]Julio!C107</f>
        <v xml:space="preserve">Cargos </v>
      </c>
      <c r="D91" s="201"/>
      <c r="E91" s="221"/>
    </row>
    <row r="92" spans="1:5" ht="16.2" thickTop="1">
      <c r="A92" s="243" t="str">
        <f>+[22]Julio!A108</f>
        <v xml:space="preserve">CARGO POR  CONEXIÓN </v>
      </c>
      <c r="B92" s="244"/>
      <c r="C92" s="244"/>
      <c r="E92" s="209">
        <f>+[22]Julio!D108+[22]Agosto!D108+[22]Septiembre!D108+[22]Octubre!D108+[22]Noviembre!D108+[22]Diciembre!D108</f>
        <v>0</v>
      </c>
    </row>
    <row r="93" spans="1:5" ht="15.6">
      <c r="A93" s="243" t="str">
        <f>+[22]Julio!A109</f>
        <v xml:space="preserve">CARGO POR  OPERACIÓN INTEGRADA </v>
      </c>
      <c r="B93" s="244"/>
      <c r="C93" s="244"/>
      <c r="D93" s="249"/>
      <c r="E93" s="251"/>
    </row>
    <row r="94" spans="1:5" ht="15.6">
      <c r="A94" s="243" t="str">
        <f>+[22]Julio!A110</f>
        <v xml:space="preserve">  PEDREGALITO I (Generador)</v>
      </c>
      <c r="B94" s="244">
        <f>+[22]Julio!B110</f>
        <v>10</v>
      </c>
      <c r="C94" s="244">
        <f>+[22]Julio!C110</f>
        <v>0.1681</v>
      </c>
      <c r="D94" s="249">
        <f>+[22]Julio!D110+[22]Agosto!D110+[22]Septiembre!D110+[22]Octubre!D110+[22]Noviembre!D110+[22]Diciembre!D110</f>
        <v>10086</v>
      </c>
      <c r="E94" s="251"/>
    </row>
    <row r="95" spans="1:5" ht="15.6">
      <c r="A95" s="243"/>
      <c r="B95" s="244"/>
      <c r="C95" s="244"/>
      <c r="D95" s="249"/>
      <c r="E95" s="251"/>
    </row>
    <row r="96" spans="1:5" ht="16.2" thickBot="1">
      <c r="A96" s="220" t="str">
        <f>+[22]Julio!A113</f>
        <v>GENERADORA RIO CHICO, S.A. (PEDREGALITO II)</v>
      </c>
      <c r="B96" s="199" t="str">
        <f>+[22]Julio!B113</f>
        <v>Cantidad</v>
      </c>
      <c r="C96" s="200" t="str">
        <f>+[22]Julio!C113</f>
        <v xml:space="preserve">Cargos </v>
      </c>
      <c r="D96" s="201"/>
      <c r="E96" s="221"/>
    </row>
    <row r="97" spans="1:5" ht="16.2" thickTop="1">
      <c r="A97" s="243" t="str">
        <f>+[22]Julio!A114</f>
        <v xml:space="preserve">CARGO POR  CONEXIÓN </v>
      </c>
      <c r="B97" s="244"/>
      <c r="C97" s="244"/>
      <c r="E97" s="209">
        <f>+[22]Julio!D114+[22]Agosto!D114+[22]Septiembre!D114+[22]Octubre!D114+[22]Noviembre!D114+[22]Diciembre!D114</f>
        <v>0</v>
      </c>
    </row>
    <row r="98" spans="1:5" ht="15.6">
      <c r="A98" s="243" t="str">
        <f>+[22]Julio!A115</f>
        <v xml:space="preserve">CARGO POR  OPERACIÓN INTEGRADA </v>
      </c>
      <c r="B98" s="244"/>
      <c r="C98" s="244"/>
      <c r="D98" s="249"/>
      <c r="E98" s="251"/>
    </row>
    <row r="99" spans="1:5" ht="15.6">
      <c r="A99" s="243" t="str">
        <f>+[22]Julio!A116</f>
        <v xml:space="preserve">  PEDREGALITO II (Generador)</v>
      </c>
      <c r="B99" s="244">
        <f>+[22]Julio!B116</f>
        <v>4</v>
      </c>
      <c r="C99" s="244">
        <f>+[22]Julio!C116</f>
        <v>0.1681</v>
      </c>
      <c r="D99" s="249">
        <f>+[22]Julio!D116+[22]Agosto!D116+[22]Septiembre!D116+[22]Octubre!D116+[22]Noviembre!D116+[22]Diciembre!D116</f>
        <v>4034.4</v>
      </c>
      <c r="E99" s="251"/>
    </row>
    <row r="100" spans="1:5" ht="15.6">
      <c r="A100" s="243"/>
      <c r="B100" s="244"/>
      <c r="C100" s="244"/>
      <c r="D100" s="249"/>
      <c r="E100" s="251"/>
    </row>
    <row r="101" spans="1:5" ht="16.2" thickBot="1">
      <c r="A101" s="220" t="str">
        <f>+[22]Julio!A119</f>
        <v xml:space="preserve">ALTERNEGY, S.A. </v>
      </c>
      <c r="B101" s="199" t="str">
        <f>+[22]Julio!B119</f>
        <v>Cantidad</v>
      </c>
      <c r="C101" s="200" t="str">
        <f>+[22]Julio!C119</f>
        <v xml:space="preserve">Cargos </v>
      </c>
      <c r="D101" s="201"/>
      <c r="E101" s="221"/>
    </row>
    <row r="102" spans="1:5" ht="16.2" thickTop="1">
      <c r="A102" s="243" t="str">
        <f>+[22]Julio!A120</f>
        <v xml:space="preserve">CARGO POR  CONEXIÓN </v>
      </c>
      <c r="B102" s="244"/>
      <c r="C102" s="244"/>
      <c r="E102" s="209">
        <f>+[22]Julio!D120+[22]Agosto!D120+[22]Septiembre!D120+[22]Octubre!D120+[22]Noviembre!D120+[22]Diciembre!D120</f>
        <v>0</v>
      </c>
    </row>
    <row r="103" spans="1:5" ht="15.6">
      <c r="A103" s="243" t="str">
        <f>+[22]Julio!A121</f>
        <v xml:space="preserve">CARGO POR  OPERACIÓN INTEGRADA </v>
      </c>
      <c r="B103" s="244"/>
      <c r="C103" s="244"/>
      <c r="D103" s="249"/>
      <c r="E103" s="251"/>
    </row>
    <row r="104" spans="1:5" ht="15.6">
      <c r="A104" s="243" t="str">
        <f>+[22]Julio!A122</f>
        <v xml:space="preserve">   -  Zona 9 (S/E Bahía las Minas) Cativá</v>
      </c>
      <c r="B104" s="244">
        <f>+[22]Julio!B122</f>
        <v>87.2</v>
      </c>
      <c r="C104" s="244">
        <f>+[22]Julio!C122</f>
        <v>0.1681</v>
      </c>
      <c r="D104" s="249">
        <f>+[22]Julio!D122+[22]Agosto!D122+[22]Septiembre!D122+[22]Octubre!D122+[22]Noviembre!D122+[22]Diciembre!D122</f>
        <v>87949.920000000013</v>
      </c>
      <c r="E104" s="251"/>
    </row>
    <row r="105" spans="1:5" ht="15.6">
      <c r="A105" s="243" t="str">
        <f>+[22]Julio!A123</f>
        <v xml:space="preserve">  Lorena (Generador)</v>
      </c>
      <c r="B105" s="244">
        <f>+[22]Julio!B123</f>
        <v>33.799999999999997</v>
      </c>
      <c r="C105" s="244">
        <f>+[22]Julio!C123</f>
        <v>0.1681</v>
      </c>
      <c r="D105" s="249">
        <f>+[22]Julio!D123+[22]Agosto!D123+[22]Septiembre!D123+[22]Octubre!D123+[22]Noviembre!D123+[22]Diciembre!D123</f>
        <v>34090.68</v>
      </c>
      <c r="E105" s="251"/>
    </row>
    <row r="106" spans="1:5" ht="15.6">
      <c r="A106" s="243" t="str">
        <f>+[22]Julio!A124</f>
        <v xml:space="preserve">  Prudencia (Generador)</v>
      </c>
      <c r="B106" s="244">
        <f>+[22]Julio!B124</f>
        <v>58.66</v>
      </c>
      <c r="C106" s="244">
        <f>+[22]Julio!C124</f>
        <v>0.1681</v>
      </c>
      <c r="D106" s="249">
        <f>+[22]Julio!D124+[22]Agosto!D124+[22]Septiembre!D124+[22]Octubre!D124+[22]Noviembre!D124+[22]Diciembre!D124</f>
        <v>59164.5</v>
      </c>
      <c r="E106" s="251"/>
    </row>
    <row r="107" spans="1:5" ht="15.6">
      <c r="A107" s="243"/>
      <c r="B107" s="244"/>
      <c r="C107" s="244"/>
      <c r="D107" s="249"/>
      <c r="E107" s="251"/>
    </row>
    <row r="108" spans="1:5" ht="16.2" thickBot="1">
      <c r="A108" s="220" t="str">
        <f>+[22]Julio!A127</f>
        <v>BONTEX, S.A. (GUALACA)</v>
      </c>
      <c r="B108" s="199" t="str">
        <f>+[22]Julio!B127</f>
        <v>Cantidad</v>
      </c>
      <c r="C108" s="200" t="str">
        <f>+[22]Julio!C127</f>
        <v xml:space="preserve">Cargos </v>
      </c>
      <c r="D108" s="201"/>
      <c r="E108" s="221"/>
    </row>
    <row r="109" spans="1:5" ht="16.2" thickTop="1">
      <c r="A109" s="243" t="str">
        <f>+[22]Julio!A128</f>
        <v xml:space="preserve">CARGO POR  CONEXIÓN </v>
      </c>
      <c r="B109" s="244"/>
      <c r="C109" s="244"/>
      <c r="E109" s="209">
        <f>+[22]Julio!D128+[22]Agosto!D128+[22]Septiembre!D128+[22]Octubre!D128+[22]Noviembre!D128+[22]Diciembre!D128</f>
        <v>0</v>
      </c>
    </row>
    <row r="110" spans="1:5" ht="15.6">
      <c r="A110" s="243" t="str">
        <f>+[22]Julio!A129</f>
        <v xml:space="preserve">CARGO POR  OPERACIÓN INTEGRADA </v>
      </c>
      <c r="B110" s="244"/>
      <c r="C110" s="244"/>
      <c r="D110" s="249"/>
      <c r="E110" s="251"/>
    </row>
    <row r="111" spans="1:5" ht="15.6">
      <c r="A111" s="243" t="str">
        <f>+[22]Julio!A130</f>
        <v>BONTEX (Generador)</v>
      </c>
      <c r="B111" s="244">
        <f>+[22]Julio!B130</f>
        <v>25.34</v>
      </c>
      <c r="C111" s="244">
        <f>+[22]Julio!C130</f>
        <v>0.1681</v>
      </c>
      <c r="D111" s="249">
        <f>+[22]Julio!D130+[22]Agosto!D130+[22]Septiembre!D130+[22]Octubre!D130+[22]Noviembre!D130+[22]Diciembre!D130</f>
        <v>25557.9</v>
      </c>
      <c r="E111" s="251"/>
    </row>
    <row r="112" spans="1:5" ht="15.6">
      <c r="A112" s="243"/>
      <c r="B112" s="244"/>
      <c r="C112" s="244"/>
      <c r="D112" s="249"/>
      <c r="E112" s="251"/>
    </row>
    <row r="113" spans="1:5" ht="16.2" thickBot="1">
      <c r="A113" s="220" t="str">
        <f>+[22]Julio!A133</f>
        <v>IDEAL PANAMA, S.A.</v>
      </c>
      <c r="B113" s="199" t="str">
        <f>+[22]Julio!B133</f>
        <v>Cantidad</v>
      </c>
      <c r="C113" s="200" t="str">
        <f>+[22]Julio!C133</f>
        <v xml:space="preserve">Cargos </v>
      </c>
      <c r="D113" s="201"/>
      <c r="E113" s="221"/>
    </row>
    <row r="114" spans="1:5" ht="16.2" thickTop="1">
      <c r="A114" s="243" t="str">
        <f>+[22]Julio!A134</f>
        <v xml:space="preserve">CARGO POR  CONEXIÓN </v>
      </c>
      <c r="B114" s="244"/>
      <c r="C114" s="244"/>
      <c r="E114" s="209">
        <f>+[22]Julio!D134+[22]Agosto!D134+[22]Septiembre!D134+[22]Octubre!D134+[22]Noviembre!D134+[22]Diciembre!D134</f>
        <v>0</v>
      </c>
    </row>
    <row r="115" spans="1:5" ht="15.6">
      <c r="A115" s="243" t="str">
        <f>+[22]Julio!A135</f>
        <v xml:space="preserve">CARGO POR  OPERACIÓN INTEGRADA </v>
      </c>
      <c r="B115" s="244"/>
      <c r="C115" s="244"/>
      <c r="D115" s="249"/>
      <c r="E115" s="251"/>
    </row>
    <row r="116" spans="1:5" ht="15.6">
      <c r="A116" s="243" t="str">
        <f>+[22]Julio!A136</f>
        <v xml:space="preserve">  Bajo de Mina (Generador)</v>
      </c>
      <c r="B116" s="244">
        <f>+[22]Julio!B136</f>
        <v>56.8</v>
      </c>
      <c r="C116" s="244">
        <f>+[22]Julio!C136</f>
        <v>0.1681</v>
      </c>
      <c r="D116" s="249">
        <f>+[22]Julio!D136+[22]Agosto!D136+[22]Septiembre!D136+[22]Octubre!D136+[22]Noviembre!D136+[22]Diciembre!D136</f>
        <v>57288.480000000003</v>
      </c>
      <c r="E116" s="251"/>
    </row>
    <row r="117" spans="1:5" ht="15.6">
      <c r="A117" s="243" t="str">
        <f>+[22]Julio!A137</f>
        <v xml:space="preserve">  Baitún (Generador)</v>
      </c>
      <c r="B117" s="244">
        <f>+[22]Julio!B137</f>
        <v>85.9</v>
      </c>
      <c r="C117" s="244">
        <f>+[22]Julio!C137</f>
        <v>0.1681</v>
      </c>
      <c r="D117" s="249">
        <f>+[22]Julio!D137+[22]Agosto!D137+[22]Septiembre!D137+[22]Octubre!D137+[22]Noviembre!D137+[22]Diciembre!D137</f>
        <v>86638.74000000002</v>
      </c>
      <c r="E117" s="251"/>
    </row>
    <row r="118" spans="1:5" ht="15.6">
      <c r="A118" s="243"/>
      <c r="B118" s="244"/>
      <c r="C118" s="244"/>
      <c r="D118" s="249"/>
      <c r="E118" s="251"/>
    </row>
    <row r="119" spans="1:5" ht="16.2" thickBot="1">
      <c r="A119" s="220" t="str">
        <f>+[22]Julio!A140</f>
        <v>HIDRO PIEDRA, S.A. (RP-490)</v>
      </c>
      <c r="B119" s="199" t="str">
        <f>+[22]Julio!B140</f>
        <v>Cantidad</v>
      </c>
      <c r="C119" s="200" t="str">
        <f>+[22]Julio!C140</f>
        <v xml:space="preserve">Cargos </v>
      </c>
      <c r="D119" s="201"/>
      <c r="E119" s="221"/>
    </row>
    <row r="120" spans="1:5" ht="16.2" thickTop="1">
      <c r="A120" s="243" t="str">
        <f>+[22]Julio!A141</f>
        <v xml:space="preserve">CARGO POR  CONEXIÓN </v>
      </c>
      <c r="B120" s="244"/>
      <c r="C120" s="244"/>
      <c r="E120" s="209">
        <f>+[22]Julio!D141+[22]Agosto!D141+[22]Septiembre!D141+[22]Octubre!D141+[22]Noviembre!D141+[22]Diciembre!D141</f>
        <v>0</v>
      </c>
    </row>
    <row r="121" spans="1:5" ht="15.6">
      <c r="A121" s="243" t="str">
        <f>+[22]Julio!A142</f>
        <v xml:space="preserve">CARGO POR  OPERACIÓN INTEGRADA </v>
      </c>
      <c r="B121" s="244"/>
      <c r="C121" s="244"/>
      <c r="D121" s="249"/>
      <c r="E121" s="251"/>
    </row>
    <row r="122" spans="1:5" ht="15.6">
      <c r="A122" s="243" t="str">
        <f>+[22]Julio!A143</f>
        <v xml:space="preserve"> RP-490 (Generador)</v>
      </c>
      <c r="B122" s="244">
        <f>+[22]Julio!B143</f>
        <v>4</v>
      </c>
      <c r="C122" s="244">
        <f>+[22]Julio!C143</f>
        <v>0.1681</v>
      </c>
      <c r="D122" s="249">
        <f>+[22]Julio!D143+[22]Agosto!D143+[22]Septiembre!D143+[22]Octubre!D143+[22]Noviembre!D143+[22]Diciembre!D143</f>
        <v>4034.4</v>
      </c>
      <c r="E122" s="251"/>
    </row>
    <row r="123" spans="1:5" ht="15.6">
      <c r="A123" s="243"/>
      <c r="B123" s="244"/>
      <c r="C123" s="244"/>
      <c r="D123" s="249"/>
      <c r="E123" s="251"/>
    </row>
    <row r="124" spans="1:5" ht="16.2" thickBot="1">
      <c r="A124" s="220" t="str">
        <f>+[22]Julio!A146</f>
        <v>GENERADORA ALTO VALLE, S.A. (COCHEA)</v>
      </c>
      <c r="B124" s="199" t="str">
        <f>+[22]Julio!B146</f>
        <v>Cantidad</v>
      </c>
      <c r="C124" s="200" t="str">
        <f>+[22]Julio!C146</f>
        <v xml:space="preserve">Cargos </v>
      </c>
      <c r="D124" s="201"/>
      <c r="E124" s="221"/>
    </row>
    <row r="125" spans="1:5" ht="16.2" thickTop="1">
      <c r="A125" s="243" t="str">
        <f>+[22]Julio!A147</f>
        <v xml:space="preserve">CARGO POR  CONEXIÓN </v>
      </c>
      <c r="B125" s="244"/>
      <c r="C125" s="244"/>
      <c r="E125" s="209">
        <f>+[22]Julio!D147+[22]Agosto!D147+[22]Septiembre!D147+[22]Octubre!D147+[22]Noviembre!D147+[22]Diciembre!D147</f>
        <v>0</v>
      </c>
    </row>
    <row r="126" spans="1:5" ht="15.6">
      <c r="A126" s="243" t="str">
        <f>+[22]Julio!A148</f>
        <v xml:space="preserve">CARGO POR  OPERACIÓN INTEGRADA </v>
      </c>
      <c r="B126" s="244"/>
      <c r="C126" s="244"/>
      <c r="D126" s="249"/>
      <c r="E126" s="251"/>
    </row>
    <row r="127" spans="1:5" ht="15.6">
      <c r="A127" s="243" t="str">
        <f>+[22]Julio!A149</f>
        <v>Cochea (Generador)</v>
      </c>
      <c r="B127" s="244">
        <f>+[22]Julio!B149</f>
        <v>5.7</v>
      </c>
      <c r="C127" s="244">
        <f>+[22]Julio!C149</f>
        <v>0.1681</v>
      </c>
      <c r="D127" s="249">
        <f>+[22]Julio!D149+[22]Agosto!D149+[22]Septiembre!D149+[22]Octubre!D149+[22]Noviembre!D149+[22]Diciembre!D149</f>
        <v>5749.0199999999995</v>
      </c>
      <c r="E127" s="251"/>
    </row>
    <row r="128" spans="1:5" ht="15.6">
      <c r="A128" s="243"/>
      <c r="B128" s="244"/>
      <c r="C128" s="244"/>
      <c r="D128" s="249"/>
      <c r="E128" s="251"/>
    </row>
    <row r="129" spans="1:5" ht="16.2" thickBot="1">
      <c r="A129" s="220" t="str">
        <f>+[22]Julio!A152</f>
        <v>ENERGÍA Y SERVICIOS DE PANAMÁ, S.A. (ESEPSA)</v>
      </c>
      <c r="B129" s="199" t="str">
        <f>+[22]Julio!B152</f>
        <v>Cantidad</v>
      </c>
      <c r="C129" s="200" t="str">
        <f>+[22]Julio!C152</f>
        <v xml:space="preserve">Cargos </v>
      </c>
      <c r="D129" s="201"/>
      <c r="E129" s="221"/>
    </row>
    <row r="130" spans="1:5" ht="16.2" thickTop="1">
      <c r="A130" s="258" t="str">
        <f>+[22]Julio!A153</f>
        <v xml:space="preserve">CARGO POR  CONEXIÓN </v>
      </c>
      <c r="B130" s="259"/>
      <c r="C130" s="259"/>
      <c r="E130" s="209">
        <f>+[22]Julio!D153+[22]Agosto!D153+[22]Septiembre!D153+[22]Octubre!D153+[22]Noviembre!D153+[22]Diciembre!D153</f>
        <v>0</v>
      </c>
    </row>
    <row r="131" spans="1:5" ht="15.6">
      <c r="A131" s="260" t="str">
        <f>+[22]Julio!A154</f>
        <v xml:space="preserve">CARGO POR  OPERACIÓN INTEGRADA </v>
      </c>
      <c r="B131" s="244"/>
      <c r="C131" s="244"/>
      <c r="D131" s="249"/>
      <c r="E131" s="251"/>
    </row>
    <row r="132" spans="1:5" ht="15.6">
      <c r="A132" s="261" t="str">
        <f>+[22]Julio!A155</f>
        <v>ESEPSA (Generador)</v>
      </c>
      <c r="B132" s="262">
        <f>+[22]Julio!B155</f>
        <v>12.5</v>
      </c>
      <c r="C132" s="262">
        <f>+[22]Julio!C155</f>
        <v>0.1681</v>
      </c>
      <c r="D132" s="263">
        <f>+[22]Julio!D155+[22]Agosto!D155+[22]Septiembre!D155+[22]Octubre!D155+[22]Noviembre!D155+[22]Diciembre!D155</f>
        <v>12607.5</v>
      </c>
      <c r="E132" s="252"/>
    </row>
    <row r="133" spans="1:5" ht="15.6">
      <c r="A133" s="186" t="str">
        <f>+[22]Julio!A158</f>
        <v>INGRESO TOTAL CONEXIÓN</v>
      </c>
      <c r="B133" s="186"/>
      <c r="C133" s="186"/>
      <c r="D133" s="264"/>
      <c r="E133" s="265">
        <f>SUM(E7:E132)</f>
        <v>2103018.08</v>
      </c>
    </row>
    <row r="134" spans="1:5" ht="15.6">
      <c r="A134" s="186" t="str">
        <f>+[22]Julio!A159</f>
        <v>INGRESO TOTAL POR OPERACIÓN INTEGRADA</v>
      </c>
      <c r="B134" s="186"/>
      <c r="C134" s="186"/>
      <c r="D134" s="265">
        <f>SUM(D7:D132)</f>
        <v>4246685.46</v>
      </c>
    </row>
    <row r="135" spans="1:5" ht="15.6">
      <c r="A135" s="186" t="str">
        <f>+[22]Julio!A160</f>
        <v>INGRESO TOTAL ETESA</v>
      </c>
      <c r="B135" s="186"/>
      <c r="C135" s="186"/>
      <c r="D135" s="264"/>
      <c r="E135" s="266"/>
    </row>
    <row r="136" spans="1:5">
      <c r="A136" s="267"/>
      <c r="B136" s="268"/>
      <c r="C136" s="269"/>
      <c r="D136" s="270"/>
    </row>
    <row r="137" spans="1:5">
      <c r="A137" s="267"/>
      <c r="B137" s="271"/>
      <c r="C137" s="269"/>
      <c r="D137" s="270"/>
      <c r="E137" s="190">
        <f>+E133+D134</f>
        <v>6349703.54</v>
      </c>
    </row>
    <row r="138" spans="1:5">
      <c r="A138" s="267"/>
      <c r="B138" s="268"/>
      <c r="C138" s="269"/>
      <c r="D138" s="272"/>
    </row>
    <row r="162" spans="2:2">
      <c r="B162" s="273"/>
    </row>
    <row r="163" spans="2:2">
      <c r="B163" s="273"/>
    </row>
    <row r="164" spans="2:2" ht="15.6">
      <c r="B164" s="274"/>
    </row>
  </sheetData>
  <mergeCells count="1">
    <mergeCell ref="B5:D5"/>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showGridLines="0" workbookViewId="0">
      <selection activeCell="D15" sqref="D15"/>
    </sheetView>
  </sheetViews>
  <sheetFormatPr baseColWidth="10" defaultRowHeight="13.2"/>
  <cols>
    <col min="1" max="1" width="2.109375" customWidth="1"/>
    <col min="2" max="2" width="32.6640625" customWidth="1"/>
    <col min="3" max="3" width="25.88671875" bestFit="1" customWidth="1"/>
    <col min="4" max="4" width="25.5546875" customWidth="1"/>
  </cols>
  <sheetData>
    <row r="2" spans="2:5" ht="17.399999999999999">
      <c r="B2" s="1210" t="s">
        <v>39</v>
      </c>
      <c r="C2" s="1210"/>
      <c r="D2" s="1210"/>
    </row>
    <row r="3" spans="2:5" ht="17.399999999999999">
      <c r="B3" s="1210" t="s">
        <v>298</v>
      </c>
      <c r="C3" s="1210"/>
      <c r="D3" s="1210"/>
    </row>
    <row r="4" spans="2:5" ht="17.399999999999999">
      <c r="B4" s="1210" t="s">
        <v>280</v>
      </c>
      <c r="C4" s="1210"/>
      <c r="D4" s="1210"/>
    </row>
    <row r="5" spans="2:5" ht="20.399999999999999">
      <c r="B5" s="506" t="s">
        <v>292</v>
      </c>
      <c r="C5" s="507"/>
      <c r="D5" s="508">
        <v>10323668.400119998</v>
      </c>
      <c r="E5" s="498"/>
    </row>
    <row r="6" spans="2:5" ht="23.4">
      <c r="B6" s="499" t="s">
        <v>293</v>
      </c>
      <c r="C6" s="500"/>
      <c r="D6" s="501"/>
      <c r="E6" s="498"/>
    </row>
    <row r="7" spans="2:5" ht="20.399999999999999">
      <c r="B7" s="499" t="s">
        <v>282</v>
      </c>
      <c r="C7" s="502">
        <v>4246685.46</v>
      </c>
      <c r="D7" s="501"/>
      <c r="E7" s="498"/>
    </row>
    <row r="8" spans="2:5" ht="20.399999999999999">
      <c r="B8" s="499" t="s">
        <v>283</v>
      </c>
      <c r="C8" s="502">
        <v>952460.57799999986</v>
      </c>
      <c r="D8" s="501"/>
      <c r="E8" s="498"/>
    </row>
    <row r="9" spans="2:5" ht="20.399999999999999">
      <c r="B9" s="499" t="s">
        <v>284</v>
      </c>
      <c r="C9" s="502">
        <v>969408.71129999985</v>
      </c>
      <c r="D9" s="501"/>
      <c r="E9" s="498"/>
    </row>
    <row r="10" spans="2:5" ht="20.399999999999999">
      <c r="B10" s="499" t="s">
        <v>285</v>
      </c>
      <c r="C10" s="502">
        <v>961759.09499999986</v>
      </c>
      <c r="D10" s="501"/>
      <c r="E10" s="498"/>
    </row>
    <row r="11" spans="2:5" ht="20.399999999999999">
      <c r="B11" s="499" t="s">
        <v>286</v>
      </c>
      <c r="C11" s="502">
        <v>987562.18829999981</v>
      </c>
      <c r="D11" s="501"/>
      <c r="E11" s="498"/>
    </row>
    <row r="12" spans="2:5" ht="20.399999999999999">
      <c r="B12" s="499" t="s">
        <v>287</v>
      </c>
      <c r="C12" s="502">
        <v>982501.00829999987</v>
      </c>
      <c r="D12" s="501"/>
      <c r="E12" s="498"/>
    </row>
    <row r="13" spans="2:5" ht="23.4">
      <c r="B13" s="499" t="s">
        <v>288</v>
      </c>
      <c r="C13" s="500">
        <v>995351.17629999982</v>
      </c>
      <c r="D13" s="501"/>
      <c r="E13" s="498"/>
    </row>
    <row r="14" spans="2:5" ht="20.399999999999999">
      <c r="B14" s="506" t="s">
        <v>289</v>
      </c>
      <c r="C14" s="507"/>
      <c r="D14" s="508">
        <f>SUM(C7:C13)</f>
        <v>10095728.2172</v>
      </c>
      <c r="E14" s="498"/>
    </row>
    <row r="15" spans="2:5" ht="20.399999999999999">
      <c r="B15" s="499" t="s">
        <v>290</v>
      </c>
      <c r="C15" s="503"/>
      <c r="D15" s="504">
        <f>+D14-D5</f>
        <v>-227940.18291999772</v>
      </c>
      <c r="E15" s="498"/>
    </row>
    <row r="16" spans="2:5" ht="20.399999999999999">
      <c r="B16" s="499" t="s">
        <v>291</v>
      </c>
      <c r="C16" s="505"/>
      <c r="D16" s="503"/>
    </row>
    <row r="17" spans="2:4" ht="20.399999999999999">
      <c r="B17" s="509" t="s">
        <v>294</v>
      </c>
      <c r="C17" s="510"/>
      <c r="D17" s="511">
        <v>-2.2079378578001241E-2</v>
      </c>
    </row>
    <row r="19" spans="2:4" ht="15.6">
      <c r="B19" s="512" t="s">
        <v>295</v>
      </c>
    </row>
    <row r="20" spans="2:4">
      <c r="B20" s="149" t="s">
        <v>299</v>
      </c>
    </row>
    <row r="21" spans="2:4">
      <c r="B21" t="s">
        <v>296</v>
      </c>
    </row>
    <row r="22" spans="2:4">
      <c r="B22" t="s">
        <v>297</v>
      </c>
    </row>
  </sheetData>
  <mergeCells count="3">
    <mergeCell ref="B2:D2"/>
    <mergeCell ref="B3:D3"/>
    <mergeCell ref="B4:D4"/>
  </mergeCells>
  <printOptions horizontalCentered="1" verticalCentered="1"/>
  <pageMargins left="0.70866141732283472" right="0.70866141732283472" top="0.74803149606299213" bottom="0.74803149606299213" header="0.31496062992125984" footer="0.31496062992125984"/>
  <pageSetup orientation="portrait" horizontalDpi="4294967293"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47"/>
  <sheetViews>
    <sheetView showGridLines="0" zoomScaleNormal="100" workbookViewId="0">
      <selection activeCell="F51" sqref="F51"/>
    </sheetView>
  </sheetViews>
  <sheetFormatPr baseColWidth="10" defaultRowHeight="13.2"/>
  <cols>
    <col min="1" max="1" width="4.6640625" style="538" customWidth="1"/>
    <col min="2" max="2" width="7.88671875" style="538" customWidth="1"/>
    <col min="3" max="3" width="2.88671875" style="538" customWidth="1"/>
    <col min="4" max="4" width="10.33203125" style="538" customWidth="1"/>
    <col min="5" max="5" width="7" style="538" customWidth="1"/>
    <col min="6" max="6" width="11.44140625" style="538" customWidth="1"/>
    <col min="7" max="7" width="3.44140625" style="538" customWidth="1"/>
    <col min="8" max="8" width="15.88671875" style="538" customWidth="1"/>
    <col min="9" max="9" width="3.88671875" style="538" customWidth="1"/>
    <col min="10" max="10" width="7" style="538" customWidth="1"/>
    <col min="11" max="11" width="3.88671875" style="538" customWidth="1"/>
    <col min="12" max="12" width="13.6640625" style="538" customWidth="1"/>
    <col min="13" max="15" width="11.44140625" style="538"/>
    <col min="16" max="24" width="11.44140625" style="538" hidden="1" customWidth="1"/>
    <col min="25" max="27" width="11.44140625" style="538" customWidth="1"/>
    <col min="28" max="256" width="11.44140625" style="538"/>
    <col min="257" max="257" width="4.6640625" style="538" customWidth="1"/>
    <col min="258" max="258" width="7.88671875" style="538" customWidth="1"/>
    <col min="259" max="259" width="2.88671875" style="538" customWidth="1"/>
    <col min="260" max="260" width="10.33203125" style="538" customWidth="1"/>
    <col min="261" max="261" width="7" style="538" customWidth="1"/>
    <col min="262" max="262" width="11.44140625" style="538" customWidth="1"/>
    <col min="263" max="263" width="3.44140625" style="538" customWidth="1"/>
    <col min="264" max="264" width="15.88671875" style="538" customWidth="1"/>
    <col min="265" max="265" width="3.88671875" style="538" customWidth="1"/>
    <col min="266" max="266" width="7" style="538" customWidth="1"/>
    <col min="267" max="267" width="3.88671875" style="538" customWidth="1"/>
    <col min="268" max="268" width="13.6640625" style="538" customWidth="1"/>
    <col min="269" max="512" width="11.44140625" style="538"/>
    <col min="513" max="513" width="4.6640625" style="538" customWidth="1"/>
    <col min="514" max="514" width="7.88671875" style="538" customWidth="1"/>
    <col min="515" max="515" width="2.88671875" style="538" customWidth="1"/>
    <col min="516" max="516" width="10.33203125" style="538" customWidth="1"/>
    <col min="517" max="517" width="7" style="538" customWidth="1"/>
    <col min="518" max="518" width="11.44140625" style="538" customWidth="1"/>
    <col min="519" max="519" width="3.44140625" style="538" customWidth="1"/>
    <col min="520" max="520" width="15.88671875" style="538" customWidth="1"/>
    <col min="521" max="521" width="3.88671875" style="538" customWidth="1"/>
    <col min="522" max="522" width="7" style="538" customWidth="1"/>
    <col min="523" max="523" width="3.88671875" style="538" customWidth="1"/>
    <col min="524" max="524" width="13.6640625" style="538" customWidth="1"/>
    <col min="525" max="768" width="11.44140625" style="538"/>
    <col min="769" max="769" width="4.6640625" style="538" customWidth="1"/>
    <col min="770" max="770" width="7.88671875" style="538" customWidth="1"/>
    <col min="771" max="771" width="2.88671875" style="538" customWidth="1"/>
    <col min="772" max="772" width="10.33203125" style="538" customWidth="1"/>
    <col min="773" max="773" width="7" style="538" customWidth="1"/>
    <col min="774" max="774" width="11.44140625" style="538" customWidth="1"/>
    <col min="775" max="775" width="3.44140625" style="538" customWidth="1"/>
    <col min="776" max="776" width="15.88671875" style="538" customWidth="1"/>
    <col min="777" max="777" width="3.88671875" style="538" customWidth="1"/>
    <col min="778" max="778" width="7" style="538" customWidth="1"/>
    <col min="779" max="779" width="3.88671875" style="538" customWidth="1"/>
    <col min="780" max="780" width="13.6640625" style="538" customWidth="1"/>
    <col min="781" max="1024" width="11.44140625" style="538"/>
    <col min="1025" max="1025" width="4.6640625" style="538" customWidth="1"/>
    <col min="1026" max="1026" width="7.88671875" style="538" customWidth="1"/>
    <col min="1027" max="1027" width="2.88671875" style="538" customWidth="1"/>
    <col min="1028" max="1028" width="10.33203125" style="538" customWidth="1"/>
    <col min="1029" max="1029" width="7" style="538" customWidth="1"/>
    <col min="1030" max="1030" width="11.44140625" style="538" customWidth="1"/>
    <col min="1031" max="1031" width="3.44140625" style="538" customWidth="1"/>
    <col min="1032" max="1032" width="15.88671875" style="538" customWidth="1"/>
    <col min="1033" max="1033" width="3.88671875" style="538" customWidth="1"/>
    <col min="1034" max="1034" width="7" style="538" customWidth="1"/>
    <col min="1035" max="1035" width="3.88671875" style="538" customWidth="1"/>
    <col min="1036" max="1036" width="13.6640625" style="538" customWidth="1"/>
    <col min="1037" max="1280" width="11.44140625" style="538"/>
    <col min="1281" max="1281" width="4.6640625" style="538" customWidth="1"/>
    <col min="1282" max="1282" width="7.88671875" style="538" customWidth="1"/>
    <col min="1283" max="1283" width="2.88671875" style="538" customWidth="1"/>
    <col min="1284" max="1284" width="10.33203125" style="538" customWidth="1"/>
    <col min="1285" max="1285" width="7" style="538" customWidth="1"/>
    <col min="1286" max="1286" width="11.44140625" style="538" customWidth="1"/>
    <col min="1287" max="1287" width="3.44140625" style="538" customWidth="1"/>
    <col min="1288" max="1288" width="15.88671875" style="538" customWidth="1"/>
    <col min="1289" max="1289" width="3.88671875" style="538" customWidth="1"/>
    <col min="1290" max="1290" width="7" style="538" customWidth="1"/>
    <col min="1291" max="1291" width="3.88671875" style="538" customWidth="1"/>
    <col min="1292" max="1292" width="13.6640625" style="538" customWidth="1"/>
    <col min="1293" max="1536" width="11.44140625" style="538"/>
    <col min="1537" max="1537" width="4.6640625" style="538" customWidth="1"/>
    <col min="1538" max="1538" width="7.88671875" style="538" customWidth="1"/>
    <col min="1539" max="1539" width="2.88671875" style="538" customWidth="1"/>
    <col min="1540" max="1540" width="10.33203125" style="538" customWidth="1"/>
    <col min="1541" max="1541" width="7" style="538" customWidth="1"/>
    <col min="1542" max="1542" width="11.44140625" style="538" customWidth="1"/>
    <col min="1543" max="1543" width="3.44140625" style="538" customWidth="1"/>
    <col min="1544" max="1544" width="15.88671875" style="538" customWidth="1"/>
    <col min="1545" max="1545" width="3.88671875" style="538" customWidth="1"/>
    <col min="1546" max="1546" width="7" style="538" customWidth="1"/>
    <col min="1547" max="1547" width="3.88671875" style="538" customWidth="1"/>
    <col min="1548" max="1548" width="13.6640625" style="538" customWidth="1"/>
    <col min="1549" max="1792" width="11.44140625" style="538"/>
    <col min="1793" max="1793" width="4.6640625" style="538" customWidth="1"/>
    <col min="1794" max="1794" width="7.88671875" style="538" customWidth="1"/>
    <col min="1795" max="1795" width="2.88671875" style="538" customWidth="1"/>
    <col min="1796" max="1796" width="10.33203125" style="538" customWidth="1"/>
    <col min="1797" max="1797" width="7" style="538" customWidth="1"/>
    <col min="1798" max="1798" width="11.44140625" style="538" customWidth="1"/>
    <col min="1799" max="1799" width="3.44140625" style="538" customWidth="1"/>
    <col min="1800" max="1800" width="15.88671875" style="538" customWidth="1"/>
    <col min="1801" max="1801" width="3.88671875" style="538" customWidth="1"/>
    <col min="1802" max="1802" width="7" style="538" customWidth="1"/>
    <col min="1803" max="1803" width="3.88671875" style="538" customWidth="1"/>
    <col min="1804" max="1804" width="13.6640625" style="538" customWidth="1"/>
    <col min="1805" max="2048" width="11.44140625" style="538"/>
    <col min="2049" max="2049" width="4.6640625" style="538" customWidth="1"/>
    <col min="2050" max="2050" width="7.88671875" style="538" customWidth="1"/>
    <col min="2051" max="2051" width="2.88671875" style="538" customWidth="1"/>
    <col min="2052" max="2052" width="10.33203125" style="538" customWidth="1"/>
    <col min="2053" max="2053" width="7" style="538" customWidth="1"/>
    <col min="2054" max="2054" width="11.44140625" style="538" customWidth="1"/>
    <col min="2055" max="2055" width="3.44140625" style="538" customWidth="1"/>
    <col min="2056" max="2056" width="15.88671875" style="538" customWidth="1"/>
    <col min="2057" max="2057" width="3.88671875" style="538" customWidth="1"/>
    <col min="2058" max="2058" width="7" style="538" customWidth="1"/>
    <col min="2059" max="2059" width="3.88671875" style="538" customWidth="1"/>
    <col min="2060" max="2060" width="13.6640625" style="538" customWidth="1"/>
    <col min="2061" max="2304" width="11.44140625" style="538"/>
    <col min="2305" max="2305" width="4.6640625" style="538" customWidth="1"/>
    <col min="2306" max="2306" width="7.88671875" style="538" customWidth="1"/>
    <col min="2307" max="2307" width="2.88671875" style="538" customWidth="1"/>
    <col min="2308" max="2308" width="10.33203125" style="538" customWidth="1"/>
    <col min="2309" max="2309" width="7" style="538" customWidth="1"/>
    <col min="2310" max="2310" width="11.44140625" style="538" customWidth="1"/>
    <col min="2311" max="2311" width="3.44140625" style="538" customWidth="1"/>
    <col min="2312" max="2312" width="15.88671875" style="538" customWidth="1"/>
    <col min="2313" max="2313" width="3.88671875" style="538" customWidth="1"/>
    <col min="2314" max="2314" width="7" style="538" customWidth="1"/>
    <col min="2315" max="2315" width="3.88671875" style="538" customWidth="1"/>
    <col min="2316" max="2316" width="13.6640625" style="538" customWidth="1"/>
    <col min="2317" max="2560" width="11.44140625" style="538"/>
    <col min="2561" max="2561" width="4.6640625" style="538" customWidth="1"/>
    <col min="2562" max="2562" width="7.88671875" style="538" customWidth="1"/>
    <col min="2563" max="2563" width="2.88671875" style="538" customWidth="1"/>
    <col min="2564" max="2564" width="10.33203125" style="538" customWidth="1"/>
    <col min="2565" max="2565" width="7" style="538" customWidth="1"/>
    <col min="2566" max="2566" width="11.44140625" style="538" customWidth="1"/>
    <col min="2567" max="2567" width="3.44140625" style="538" customWidth="1"/>
    <col min="2568" max="2568" width="15.88671875" style="538" customWidth="1"/>
    <col min="2569" max="2569" width="3.88671875" style="538" customWidth="1"/>
    <col min="2570" max="2570" width="7" style="538" customWidth="1"/>
    <col min="2571" max="2571" width="3.88671875" style="538" customWidth="1"/>
    <col min="2572" max="2572" width="13.6640625" style="538" customWidth="1"/>
    <col min="2573" max="2816" width="11.44140625" style="538"/>
    <col min="2817" max="2817" width="4.6640625" style="538" customWidth="1"/>
    <col min="2818" max="2818" width="7.88671875" style="538" customWidth="1"/>
    <col min="2819" max="2819" width="2.88671875" style="538" customWidth="1"/>
    <col min="2820" max="2820" width="10.33203125" style="538" customWidth="1"/>
    <col min="2821" max="2821" width="7" style="538" customWidth="1"/>
    <col min="2822" max="2822" width="11.44140625" style="538" customWidth="1"/>
    <col min="2823" max="2823" width="3.44140625" style="538" customWidth="1"/>
    <col min="2824" max="2824" width="15.88671875" style="538" customWidth="1"/>
    <col min="2825" max="2825" width="3.88671875" style="538" customWidth="1"/>
    <col min="2826" max="2826" width="7" style="538" customWidth="1"/>
    <col min="2827" max="2827" width="3.88671875" style="538" customWidth="1"/>
    <col min="2828" max="2828" width="13.6640625" style="538" customWidth="1"/>
    <col min="2829" max="3072" width="11.44140625" style="538"/>
    <col min="3073" max="3073" width="4.6640625" style="538" customWidth="1"/>
    <col min="3074" max="3074" width="7.88671875" style="538" customWidth="1"/>
    <col min="3075" max="3075" width="2.88671875" style="538" customWidth="1"/>
    <col min="3076" max="3076" width="10.33203125" style="538" customWidth="1"/>
    <col min="3077" max="3077" width="7" style="538" customWidth="1"/>
    <col min="3078" max="3078" width="11.44140625" style="538" customWidth="1"/>
    <col min="3079" max="3079" width="3.44140625" style="538" customWidth="1"/>
    <col min="3080" max="3080" width="15.88671875" style="538" customWidth="1"/>
    <col min="3081" max="3081" width="3.88671875" style="538" customWidth="1"/>
    <col min="3082" max="3082" width="7" style="538" customWidth="1"/>
    <col min="3083" max="3083" width="3.88671875" style="538" customWidth="1"/>
    <col min="3084" max="3084" width="13.6640625" style="538" customWidth="1"/>
    <col min="3085" max="3328" width="11.44140625" style="538"/>
    <col min="3329" max="3329" width="4.6640625" style="538" customWidth="1"/>
    <col min="3330" max="3330" width="7.88671875" style="538" customWidth="1"/>
    <col min="3331" max="3331" width="2.88671875" style="538" customWidth="1"/>
    <col min="3332" max="3332" width="10.33203125" style="538" customWidth="1"/>
    <col min="3333" max="3333" width="7" style="538" customWidth="1"/>
    <col min="3334" max="3334" width="11.44140625" style="538" customWidth="1"/>
    <col min="3335" max="3335" width="3.44140625" style="538" customWidth="1"/>
    <col min="3336" max="3336" width="15.88671875" style="538" customWidth="1"/>
    <col min="3337" max="3337" width="3.88671875" style="538" customWidth="1"/>
    <col min="3338" max="3338" width="7" style="538" customWidth="1"/>
    <col min="3339" max="3339" width="3.88671875" style="538" customWidth="1"/>
    <col min="3340" max="3340" width="13.6640625" style="538" customWidth="1"/>
    <col min="3341" max="3584" width="11.44140625" style="538"/>
    <col min="3585" max="3585" width="4.6640625" style="538" customWidth="1"/>
    <col min="3586" max="3586" width="7.88671875" style="538" customWidth="1"/>
    <col min="3587" max="3587" width="2.88671875" style="538" customWidth="1"/>
    <col min="3588" max="3588" width="10.33203125" style="538" customWidth="1"/>
    <col min="3589" max="3589" width="7" style="538" customWidth="1"/>
    <col min="3590" max="3590" width="11.44140625" style="538" customWidth="1"/>
    <col min="3591" max="3591" width="3.44140625" style="538" customWidth="1"/>
    <col min="3592" max="3592" width="15.88671875" style="538" customWidth="1"/>
    <col min="3593" max="3593" width="3.88671875" style="538" customWidth="1"/>
    <col min="3594" max="3594" width="7" style="538" customWidth="1"/>
    <col min="3595" max="3595" width="3.88671875" style="538" customWidth="1"/>
    <col min="3596" max="3596" width="13.6640625" style="538" customWidth="1"/>
    <col min="3597" max="3840" width="11.44140625" style="538"/>
    <col min="3841" max="3841" width="4.6640625" style="538" customWidth="1"/>
    <col min="3842" max="3842" width="7.88671875" style="538" customWidth="1"/>
    <col min="3843" max="3843" width="2.88671875" style="538" customWidth="1"/>
    <col min="3844" max="3844" width="10.33203125" style="538" customWidth="1"/>
    <col min="3845" max="3845" width="7" style="538" customWidth="1"/>
    <col min="3846" max="3846" width="11.44140625" style="538" customWidth="1"/>
    <col min="3847" max="3847" width="3.44140625" style="538" customWidth="1"/>
    <col min="3848" max="3848" width="15.88671875" style="538" customWidth="1"/>
    <col min="3849" max="3849" width="3.88671875" style="538" customWidth="1"/>
    <col min="3850" max="3850" width="7" style="538" customWidth="1"/>
    <col min="3851" max="3851" width="3.88671875" style="538" customWidth="1"/>
    <col min="3852" max="3852" width="13.6640625" style="538" customWidth="1"/>
    <col min="3853" max="4096" width="11.44140625" style="538"/>
    <col min="4097" max="4097" width="4.6640625" style="538" customWidth="1"/>
    <col min="4098" max="4098" width="7.88671875" style="538" customWidth="1"/>
    <col min="4099" max="4099" width="2.88671875" style="538" customWidth="1"/>
    <col min="4100" max="4100" width="10.33203125" style="538" customWidth="1"/>
    <col min="4101" max="4101" width="7" style="538" customWidth="1"/>
    <col min="4102" max="4102" width="11.44140625" style="538" customWidth="1"/>
    <col min="4103" max="4103" width="3.44140625" style="538" customWidth="1"/>
    <col min="4104" max="4104" width="15.88671875" style="538" customWidth="1"/>
    <col min="4105" max="4105" width="3.88671875" style="538" customWidth="1"/>
    <col min="4106" max="4106" width="7" style="538" customWidth="1"/>
    <col min="4107" max="4107" width="3.88671875" style="538" customWidth="1"/>
    <col min="4108" max="4108" width="13.6640625" style="538" customWidth="1"/>
    <col min="4109" max="4352" width="11.44140625" style="538"/>
    <col min="4353" max="4353" width="4.6640625" style="538" customWidth="1"/>
    <col min="4354" max="4354" width="7.88671875" style="538" customWidth="1"/>
    <col min="4355" max="4355" width="2.88671875" style="538" customWidth="1"/>
    <col min="4356" max="4356" width="10.33203125" style="538" customWidth="1"/>
    <col min="4357" max="4357" width="7" style="538" customWidth="1"/>
    <col min="4358" max="4358" width="11.44140625" style="538" customWidth="1"/>
    <col min="4359" max="4359" width="3.44140625" style="538" customWidth="1"/>
    <col min="4360" max="4360" width="15.88671875" style="538" customWidth="1"/>
    <col min="4361" max="4361" width="3.88671875" style="538" customWidth="1"/>
    <col min="4362" max="4362" width="7" style="538" customWidth="1"/>
    <col min="4363" max="4363" width="3.88671875" style="538" customWidth="1"/>
    <col min="4364" max="4364" width="13.6640625" style="538" customWidth="1"/>
    <col min="4365" max="4608" width="11.44140625" style="538"/>
    <col min="4609" max="4609" width="4.6640625" style="538" customWidth="1"/>
    <col min="4610" max="4610" width="7.88671875" style="538" customWidth="1"/>
    <col min="4611" max="4611" width="2.88671875" style="538" customWidth="1"/>
    <col min="4612" max="4612" width="10.33203125" style="538" customWidth="1"/>
    <col min="4613" max="4613" width="7" style="538" customWidth="1"/>
    <col min="4614" max="4614" width="11.44140625" style="538" customWidth="1"/>
    <col min="4615" max="4615" width="3.44140625" style="538" customWidth="1"/>
    <col min="4616" max="4616" width="15.88671875" style="538" customWidth="1"/>
    <col min="4617" max="4617" width="3.88671875" style="538" customWidth="1"/>
    <col min="4618" max="4618" width="7" style="538" customWidth="1"/>
    <col min="4619" max="4619" width="3.88671875" style="538" customWidth="1"/>
    <col min="4620" max="4620" width="13.6640625" style="538" customWidth="1"/>
    <col min="4621" max="4864" width="11.44140625" style="538"/>
    <col min="4865" max="4865" width="4.6640625" style="538" customWidth="1"/>
    <col min="4866" max="4866" width="7.88671875" style="538" customWidth="1"/>
    <col min="4867" max="4867" width="2.88671875" style="538" customWidth="1"/>
    <col min="4868" max="4868" width="10.33203125" style="538" customWidth="1"/>
    <col min="4869" max="4869" width="7" style="538" customWidth="1"/>
    <col min="4870" max="4870" width="11.44140625" style="538" customWidth="1"/>
    <col min="4871" max="4871" width="3.44140625" style="538" customWidth="1"/>
    <col min="4872" max="4872" width="15.88671875" style="538" customWidth="1"/>
    <col min="4873" max="4873" width="3.88671875" style="538" customWidth="1"/>
    <col min="4874" max="4874" width="7" style="538" customWidth="1"/>
    <col min="4875" max="4875" width="3.88671875" style="538" customWidth="1"/>
    <col min="4876" max="4876" width="13.6640625" style="538" customWidth="1"/>
    <col min="4877" max="5120" width="11.44140625" style="538"/>
    <col min="5121" max="5121" width="4.6640625" style="538" customWidth="1"/>
    <col min="5122" max="5122" width="7.88671875" style="538" customWidth="1"/>
    <col min="5123" max="5123" width="2.88671875" style="538" customWidth="1"/>
    <col min="5124" max="5124" width="10.33203125" style="538" customWidth="1"/>
    <col min="5125" max="5125" width="7" style="538" customWidth="1"/>
    <col min="5126" max="5126" width="11.44140625" style="538" customWidth="1"/>
    <col min="5127" max="5127" width="3.44140625" style="538" customWidth="1"/>
    <col min="5128" max="5128" width="15.88671875" style="538" customWidth="1"/>
    <col min="5129" max="5129" width="3.88671875" style="538" customWidth="1"/>
    <col min="5130" max="5130" width="7" style="538" customWidth="1"/>
    <col min="5131" max="5131" width="3.88671875" style="538" customWidth="1"/>
    <col min="5132" max="5132" width="13.6640625" style="538" customWidth="1"/>
    <col min="5133" max="5376" width="11.44140625" style="538"/>
    <col min="5377" max="5377" width="4.6640625" style="538" customWidth="1"/>
    <col min="5378" max="5378" width="7.88671875" style="538" customWidth="1"/>
    <col min="5379" max="5379" width="2.88671875" style="538" customWidth="1"/>
    <col min="5380" max="5380" width="10.33203125" style="538" customWidth="1"/>
    <col min="5381" max="5381" width="7" style="538" customWidth="1"/>
    <col min="5382" max="5382" width="11.44140625" style="538" customWidth="1"/>
    <col min="5383" max="5383" width="3.44140625" style="538" customWidth="1"/>
    <col min="5384" max="5384" width="15.88671875" style="538" customWidth="1"/>
    <col min="5385" max="5385" width="3.88671875" style="538" customWidth="1"/>
    <col min="5386" max="5386" width="7" style="538" customWidth="1"/>
    <col min="5387" max="5387" width="3.88671875" style="538" customWidth="1"/>
    <col min="5388" max="5388" width="13.6640625" style="538" customWidth="1"/>
    <col min="5389" max="5632" width="11.44140625" style="538"/>
    <col min="5633" max="5633" width="4.6640625" style="538" customWidth="1"/>
    <col min="5634" max="5634" width="7.88671875" style="538" customWidth="1"/>
    <col min="5635" max="5635" width="2.88671875" style="538" customWidth="1"/>
    <col min="5636" max="5636" width="10.33203125" style="538" customWidth="1"/>
    <col min="5637" max="5637" width="7" style="538" customWidth="1"/>
    <col min="5638" max="5638" width="11.44140625" style="538" customWidth="1"/>
    <col min="5639" max="5639" width="3.44140625" style="538" customWidth="1"/>
    <col min="5640" max="5640" width="15.88671875" style="538" customWidth="1"/>
    <col min="5641" max="5641" width="3.88671875" style="538" customWidth="1"/>
    <col min="5642" max="5642" width="7" style="538" customWidth="1"/>
    <col min="5643" max="5643" width="3.88671875" style="538" customWidth="1"/>
    <col min="5644" max="5644" width="13.6640625" style="538" customWidth="1"/>
    <col min="5645" max="5888" width="11.44140625" style="538"/>
    <col min="5889" max="5889" width="4.6640625" style="538" customWidth="1"/>
    <col min="5890" max="5890" width="7.88671875" style="538" customWidth="1"/>
    <col min="5891" max="5891" width="2.88671875" style="538" customWidth="1"/>
    <col min="5892" max="5892" width="10.33203125" style="538" customWidth="1"/>
    <col min="5893" max="5893" width="7" style="538" customWidth="1"/>
    <col min="5894" max="5894" width="11.44140625" style="538" customWidth="1"/>
    <col min="5895" max="5895" width="3.44140625" style="538" customWidth="1"/>
    <col min="5896" max="5896" width="15.88671875" style="538" customWidth="1"/>
    <col min="5897" max="5897" width="3.88671875" style="538" customWidth="1"/>
    <col min="5898" max="5898" width="7" style="538" customWidth="1"/>
    <col min="5899" max="5899" width="3.88671875" style="538" customWidth="1"/>
    <col min="5900" max="5900" width="13.6640625" style="538" customWidth="1"/>
    <col min="5901" max="6144" width="11.44140625" style="538"/>
    <col min="6145" max="6145" width="4.6640625" style="538" customWidth="1"/>
    <col min="6146" max="6146" width="7.88671875" style="538" customWidth="1"/>
    <col min="6147" max="6147" width="2.88671875" style="538" customWidth="1"/>
    <col min="6148" max="6148" width="10.33203125" style="538" customWidth="1"/>
    <col min="6149" max="6149" width="7" style="538" customWidth="1"/>
    <col min="6150" max="6150" width="11.44140625" style="538" customWidth="1"/>
    <col min="6151" max="6151" width="3.44140625" style="538" customWidth="1"/>
    <col min="6152" max="6152" width="15.88671875" style="538" customWidth="1"/>
    <col min="6153" max="6153" width="3.88671875" style="538" customWidth="1"/>
    <col min="6154" max="6154" width="7" style="538" customWidth="1"/>
    <col min="6155" max="6155" width="3.88671875" style="538" customWidth="1"/>
    <col min="6156" max="6156" width="13.6640625" style="538" customWidth="1"/>
    <col min="6157" max="6400" width="11.44140625" style="538"/>
    <col min="6401" max="6401" width="4.6640625" style="538" customWidth="1"/>
    <col min="6402" max="6402" width="7.88671875" style="538" customWidth="1"/>
    <col min="6403" max="6403" width="2.88671875" style="538" customWidth="1"/>
    <col min="6404" max="6404" width="10.33203125" style="538" customWidth="1"/>
    <col min="6405" max="6405" width="7" style="538" customWidth="1"/>
    <col min="6406" max="6406" width="11.44140625" style="538" customWidth="1"/>
    <col min="6407" max="6407" width="3.44140625" style="538" customWidth="1"/>
    <col min="6408" max="6408" width="15.88671875" style="538" customWidth="1"/>
    <col min="6409" max="6409" width="3.88671875" style="538" customWidth="1"/>
    <col min="6410" max="6410" width="7" style="538" customWidth="1"/>
    <col min="6411" max="6411" width="3.88671875" style="538" customWidth="1"/>
    <col min="6412" max="6412" width="13.6640625" style="538" customWidth="1"/>
    <col min="6413" max="6656" width="11.44140625" style="538"/>
    <col min="6657" max="6657" width="4.6640625" style="538" customWidth="1"/>
    <col min="6658" max="6658" width="7.88671875" style="538" customWidth="1"/>
    <col min="6659" max="6659" width="2.88671875" style="538" customWidth="1"/>
    <col min="6660" max="6660" width="10.33203125" style="538" customWidth="1"/>
    <col min="6661" max="6661" width="7" style="538" customWidth="1"/>
    <col min="6662" max="6662" width="11.44140625" style="538" customWidth="1"/>
    <col min="6663" max="6663" width="3.44140625" style="538" customWidth="1"/>
    <col min="6664" max="6664" width="15.88671875" style="538" customWidth="1"/>
    <col min="6665" max="6665" width="3.88671875" style="538" customWidth="1"/>
    <col min="6666" max="6666" width="7" style="538" customWidth="1"/>
    <col min="6667" max="6667" width="3.88671875" style="538" customWidth="1"/>
    <col min="6668" max="6668" width="13.6640625" style="538" customWidth="1"/>
    <col min="6669" max="6912" width="11.44140625" style="538"/>
    <col min="6913" max="6913" width="4.6640625" style="538" customWidth="1"/>
    <col min="6914" max="6914" width="7.88671875" style="538" customWidth="1"/>
    <col min="6915" max="6915" width="2.88671875" style="538" customWidth="1"/>
    <col min="6916" max="6916" width="10.33203125" style="538" customWidth="1"/>
    <col min="6917" max="6917" width="7" style="538" customWidth="1"/>
    <col min="6918" max="6918" width="11.44140625" style="538" customWidth="1"/>
    <col min="6919" max="6919" width="3.44140625" style="538" customWidth="1"/>
    <col min="6920" max="6920" width="15.88671875" style="538" customWidth="1"/>
    <col min="6921" max="6921" width="3.88671875" style="538" customWidth="1"/>
    <col min="6922" max="6922" width="7" style="538" customWidth="1"/>
    <col min="6923" max="6923" width="3.88671875" style="538" customWidth="1"/>
    <col min="6924" max="6924" width="13.6640625" style="538" customWidth="1"/>
    <col min="6925" max="7168" width="11.44140625" style="538"/>
    <col min="7169" max="7169" width="4.6640625" style="538" customWidth="1"/>
    <col min="7170" max="7170" width="7.88671875" style="538" customWidth="1"/>
    <col min="7171" max="7171" width="2.88671875" style="538" customWidth="1"/>
    <col min="7172" max="7172" width="10.33203125" style="538" customWidth="1"/>
    <col min="7173" max="7173" width="7" style="538" customWidth="1"/>
    <col min="7174" max="7174" width="11.44140625" style="538" customWidth="1"/>
    <col min="7175" max="7175" width="3.44140625" style="538" customWidth="1"/>
    <col min="7176" max="7176" width="15.88671875" style="538" customWidth="1"/>
    <col min="7177" max="7177" width="3.88671875" style="538" customWidth="1"/>
    <col min="7178" max="7178" width="7" style="538" customWidth="1"/>
    <col min="7179" max="7179" width="3.88671875" style="538" customWidth="1"/>
    <col min="7180" max="7180" width="13.6640625" style="538" customWidth="1"/>
    <col min="7181" max="7424" width="11.44140625" style="538"/>
    <col min="7425" max="7425" width="4.6640625" style="538" customWidth="1"/>
    <col min="7426" max="7426" width="7.88671875" style="538" customWidth="1"/>
    <col min="7427" max="7427" width="2.88671875" style="538" customWidth="1"/>
    <col min="7428" max="7428" width="10.33203125" style="538" customWidth="1"/>
    <col min="7429" max="7429" width="7" style="538" customWidth="1"/>
    <col min="7430" max="7430" width="11.44140625" style="538" customWidth="1"/>
    <col min="7431" max="7431" width="3.44140625" style="538" customWidth="1"/>
    <col min="7432" max="7432" width="15.88671875" style="538" customWidth="1"/>
    <col min="7433" max="7433" width="3.88671875" style="538" customWidth="1"/>
    <col min="7434" max="7434" width="7" style="538" customWidth="1"/>
    <col min="7435" max="7435" width="3.88671875" style="538" customWidth="1"/>
    <col min="7436" max="7436" width="13.6640625" style="538" customWidth="1"/>
    <col min="7437" max="7680" width="11.44140625" style="538"/>
    <col min="7681" max="7681" width="4.6640625" style="538" customWidth="1"/>
    <col min="7682" max="7682" width="7.88671875" style="538" customWidth="1"/>
    <col min="7683" max="7683" width="2.88671875" style="538" customWidth="1"/>
    <col min="7684" max="7684" width="10.33203125" style="538" customWidth="1"/>
    <col min="7685" max="7685" width="7" style="538" customWidth="1"/>
    <col min="7686" max="7686" width="11.44140625" style="538" customWidth="1"/>
    <col min="7687" max="7687" width="3.44140625" style="538" customWidth="1"/>
    <col min="7688" max="7688" width="15.88671875" style="538" customWidth="1"/>
    <col min="7689" max="7689" width="3.88671875" style="538" customWidth="1"/>
    <col min="7690" max="7690" width="7" style="538" customWidth="1"/>
    <col min="7691" max="7691" width="3.88671875" style="538" customWidth="1"/>
    <col min="7692" max="7692" width="13.6640625" style="538" customWidth="1"/>
    <col min="7693" max="7936" width="11.44140625" style="538"/>
    <col min="7937" max="7937" width="4.6640625" style="538" customWidth="1"/>
    <col min="7938" max="7938" width="7.88671875" style="538" customWidth="1"/>
    <col min="7939" max="7939" width="2.88671875" style="538" customWidth="1"/>
    <col min="7940" max="7940" width="10.33203125" style="538" customWidth="1"/>
    <col min="7941" max="7941" width="7" style="538" customWidth="1"/>
    <col min="7942" max="7942" width="11.44140625" style="538" customWidth="1"/>
    <col min="7943" max="7943" width="3.44140625" style="538" customWidth="1"/>
    <col min="7944" max="7944" width="15.88671875" style="538" customWidth="1"/>
    <col min="7945" max="7945" width="3.88671875" style="538" customWidth="1"/>
    <col min="7946" max="7946" width="7" style="538" customWidth="1"/>
    <col min="7947" max="7947" width="3.88671875" style="538" customWidth="1"/>
    <col min="7948" max="7948" width="13.6640625" style="538" customWidth="1"/>
    <col min="7949" max="8192" width="11.44140625" style="538"/>
    <col min="8193" max="8193" width="4.6640625" style="538" customWidth="1"/>
    <col min="8194" max="8194" width="7.88671875" style="538" customWidth="1"/>
    <col min="8195" max="8195" width="2.88671875" style="538" customWidth="1"/>
    <col min="8196" max="8196" width="10.33203125" style="538" customWidth="1"/>
    <col min="8197" max="8197" width="7" style="538" customWidth="1"/>
    <col min="8198" max="8198" width="11.44140625" style="538" customWidth="1"/>
    <col min="8199" max="8199" width="3.44140625" style="538" customWidth="1"/>
    <col min="8200" max="8200" width="15.88671875" style="538" customWidth="1"/>
    <col min="8201" max="8201" width="3.88671875" style="538" customWidth="1"/>
    <col min="8202" max="8202" width="7" style="538" customWidth="1"/>
    <col min="8203" max="8203" width="3.88671875" style="538" customWidth="1"/>
    <col min="8204" max="8204" width="13.6640625" style="538" customWidth="1"/>
    <col min="8205" max="8448" width="11.44140625" style="538"/>
    <col min="8449" max="8449" width="4.6640625" style="538" customWidth="1"/>
    <col min="8450" max="8450" width="7.88671875" style="538" customWidth="1"/>
    <col min="8451" max="8451" width="2.88671875" style="538" customWidth="1"/>
    <col min="8452" max="8452" width="10.33203125" style="538" customWidth="1"/>
    <col min="8453" max="8453" width="7" style="538" customWidth="1"/>
    <col min="8454" max="8454" width="11.44140625" style="538" customWidth="1"/>
    <col min="8455" max="8455" width="3.44140625" style="538" customWidth="1"/>
    <col min="8456" max="8456" width="15.88671875" style="538" customWidth="1"/>
    <col min="8457" max="8457" width="3.88671875" style="538" customWidth="1"/>
    <col min="8458" max="8458" width="7" style="538" customWidth="1"/>
    <col min="8459" max="8459" width="3.88671875" style="538" customWidth="1"/>
    <col min="8460" max="8460" width="13.6640625" style="538" customWidth="1"/>
    <col min="8461" max="8704" width="11.44140625" style="538"/>
    <col min="8705" max="8705" width="4.6640625" style="538" customWidth="1"/>
    <col min="8706" max="8706" width="7.88671875" style="538" customWidth="1"/>
    <col min="8707" max="8707" width="2.88671875" style="538" customWidth="1"/>
    <col min="8708" max="8708" width="10.33203125" style="538" customWidth="1"/>
    <col min="8709" max="8709" width="7" style="538" customWidth="1"/>
    <col min="8710" max="8710" width="11.44140625" style="538" customWidth="1"/>
    <col min="8711" max="8711" width="3.44140625" style="538" customWidth="1"/>
    <col min="8712" max="8712" width="15.88671875" style="538" customWidth="1"/>
    <col min="8713" max="8713" width="3.88671875" style="538" customWidth="1"/>
    <col min="8714" max="8714" width="7" style="538" customWidth="1"/>
    <col min="8715" max="8715" width="3.88671875" style="538" customWidth="1"/>
    <col min="8716" max="8716" width="13.6640625" style="538" customWidth="1"/>
    <col min="8717" max="8960" width="11.44140625" style="538"/>
    <col min="8961" max="8961" width="4.6640625" style="538" customWidth="1"/>
    <col min="8962" max="8962" width="7.88671875" style="538" customWidth="1"/>
    <col min="8963" max="8963" width="2.88671875" style="538" customWidth="1"/>
    <col min="8964" max="8964" width="10.33203125" style="538" customWidth="1"/>
    <col min="8965" max="8965" width="7" style="538" customWidth="1"/>
    <col min="8966" max="8966" width="11.44140625" style="538" customWidth="1"/>
    <col min="8967" max="8967" width="3.44140625" style="538" customWidth="1"/>
    <col min="8968" max="8968" width="15.88671875" style="538" customWidth="1"/>
    <col min="8969" max="8969" width="3.88671875" style="538" customWidth="1"/>
    <col min="8970" max="8970" width="7" style="538" customWidth="1"/>
    <col min="8971" max="8971" width="3.88671875" style="538" customWidth="1"/>
    <col min="8972" max="8972" width="13.6640625" style="538" customWidth="1"/>
    <col min="8973" max="9216" width="11.44140625" style="538"/>
    <col min="9217" max="9217" width="4.6640625" style="538" customWidth="1"/>
    <col min="9218" max="9218" width="7.88671875" style="538" customWidth="1"/>
    <col min="9219" max="9219" width="2.88671875" style="538" customWidth="1"/>
    <col min="9220" max="9220" width="10.33203125" style="538" customWidth="1"/>
    <col min="9221" max="9221" width="7" style="538" customWidth="1"/>
    <col min="9222" max="9222" width="11.44140625" style="538" customWidth="1"/>
    <col min="9223" max="9223" width="3.44140625" style="538" customWidth="1"/>
    <col min="9224" max="9224" width="15.88671875" style="538" customWidth="1"/>
    <col min="9225" max="9225" width="3.88671875" style="538" customWidth="1"/>
    <col min="9226" max="9226" width="7" style="538" customWidth="1"/>
    <col min="9227" max="9227" width="3.88671875" style="538" customWidth="1"/>
    <col min="9228" max="9228" width="13.6640625" style="538" customWidth="1"/>
    <col min="9229" max="9472" width="11.44140625" style="538"/>
    <col min="9473" max="9473" width="4.6640625" style="538" customWidth="1"/>
    <col min="9474" max="9474" width="7.88671875" style="538" customWidth="1"/>
    <col min="9475" max="9475" width="2.88671875" style="538" customWidth="1"/>
    <col min="9476" max="9476" width="10.33203125" style="538" customWidth="1"/>
    <col min="9477" max="9477" width="7" style="538" customWidth="1"/>
    <col min="9478" max="9478" width="11.44140625" style="538" customWidth="1"/>
    <col min="9479" max="9479" width="3.44140625" style="538" customWidth="1"/>
    <col min="9480" max="9480" width="15.88671875" style="538" customWidth="1"/>
    <col min="9481" max="9481" width="3.88671875" style="538" customWidth="1"/>
    <col min="9482" max="9482" width="7" style="538" customWidth="1"/>
    <col min="9483" max="9483" width="3.88671875" style="538" customWidth="1"/>
    <col min="9484" max="9484" width="13.6640625" style="538" customWidth="1"/>
    <col min="9485" max="9728" width="11.44140625" style="538"/>
    <col min="9729" max="9729" width="4.6640625" style="538" customWidth="1"/>
    <col min="9730" max="9730" width="7.88671875" style="538" customWidth="1"/>
    <col min="9731" max="9731" width="2.88671875" style="538" customWidth="1"/>
    <col min="9732" max="9732" width="10.33203125" style="538" customWidth="1"/>
    <col min="9733" max="9733" width="7" style="538" customWidth="1"/>
    <col min="9734" max="9734" width="11.44140625" style="538" customWidth="1"/>
    <col min="9735" max="9735" width="3.44140625" style="538" customWidth="1"/>
    <col min="9736" max="9736" width="15.88671875" style="538" customWidth="1"/>
    <col min="9737" max="9737" width="3.88671875" style="538" customWidth="1"/>
    <col min="9738" max="9738" width="7" style="538" customWidth="1"/>
    <col min="9739" max="9739" width="3.88671875" style="538" customWidth="1"/>
    <col min="9740" max="9740" width="13.6640625" style="538" customWidth="1"/>
    <col min="9741" max="9984" width="11.44140625" style="538"/>
    <col min="9985" max="9985" width="4.6640625" style="538" customWidth="1"/>
    <col min="9986" max="9986" width="7.88671875" style="538" customWidth="1"/>
    <col min="9987" max="9987" width="2.88671875" style="538" customWidth="1"/>
    <col min="9988" max="9988" width="10.33203125" style="538" customWidth="1"/>
    <col min="9989" max="9989" width="7" style="538" customWidth="1"/>
    <col min="9990" max="9990" width="11.44140625" style="538" customWidth="1"/>
    <col min="9991" max="9991" width="3.44140625" style="538" customWidth="1"/>
    <col min="9992" max="9992" width="15.88671875" style="538" customWidth="1"/>
    <col min="9993" max="9993" width="3.88671875" style="538" customWidth="1"/>
    <col min="9994" max="9994" width="7" style="538" customWidth="1"/>
    <col min="9995" max="9995" width="3.88671875" style="538" customWidth="1"/>
    <col min="9996" max="9996" width="13.6640625" style="538" customWidth="1"/>
    <col min="9997" max="10240" width="11.44140625" style="538"/>
    <col min="10241" max="10241" width="4.6640625" style="538" customWidth="1"/>
    <col min="10242" max="10242" width="7.88671875" style="538" customWidth="1"/>
    <col min="10243" max="10243" width="2.88671875" style="538" customWidth="1"/>
    <col min="10244" max="10244" width="10.33203125" style="538" customWidth="1"/>
    <col min="10245" max="10245" width="7" style="538" customWidth="1"/>
    <col min="10246" max="10246" width="11.44140625" style="538" customWidth="1"/>
    <col min="10247" max="10247" width="3.44140625" style="538" customWidth="1"/>
    <col min="10248" max="10248" width="15.88671875" style="538" customWidth="1"/>
    <col min="10249" max="10249" width="3.88671875" style="538" customWidth="1"/>
    <col min="10250" max="10250" width="7" style="538" customWidth="1"/>
    <col min="10251" max="10251" width="3.88671875" style="538" customWidth="1"/>
    <col min="10252" max="10252" width="13.6640625" style="538" customWidth="1"/>
    <col min="10253" max="10496" width="11.44140625" style="538"/>
    <col min="10497" max="10497" width="4.6640625" style="538" customWidth="1"/>
    <col min="10498" max="10498" width="7.88671875" style="538" customWidth="1"/>
    <col min="10499" max="10499" width="2.88671875" style="538" customWidth="1"/>
    <col min="10500" max="10500" width="10.33203125" style="538" customWidth="1"/>
    <col min="10501" max="10501" width="7" style="538" customWidth="1"/>
    <col min="10502" max="10502" width="11.44140625" style="538" customWidth="1"/>
    <col min="10503" max="10503" width="3.44140625" style="538" customWidth="1"/>
    <col min="10504" max="10504" width="15.88671875" style="538" customWidth="1"/>
    <col min="10505" max="10505" width="3.88671875" style="538" customWidth="1"/>
    <col min="10506" max="10506" width="7" style="538" customWidth="1"/>
    <col min="10507" max="10507" width="3.88671875" style="538" customWidth="1"/>
    <col min="10508" max="10508" width="13.6640625" style="538" customWidth="1"/>
    <col min="10509" max="10752" width="11.44140625" style="538"/>
    <col min="10753" max="10753" width="4.6640625" style="538" customWidth="1"/>
    <col min="10754" max="10754" width="7.88671875" style="538" customWidth="1"/>
    <col min="10755" max="10755" width="2.88671875" style="538" customWidth="1"/>
    <col min="10756" max="10756" width="10.33203125" style="538" customWidth="1"/>
    <col min="10757" max="10757" width="7" style="538" customWidth="1"/>
    <col min="10758" max="10758" width="11.44140625" style="538" customWidth="1"/>
    <col min="10759" max="10759" width="3.44140625" style="538" customWidth="1"/>
    <col min="10760" max="10760" width="15.88671875" style="538" customWidth="1"/>
    <col min="10761" max="10761" width="3.88671875" style="538" customWidth="1"/>
    <col min="10762" max="10762" width="7" style="538" customWidth="1"/>
    <col min="10763" max="10763" width="3.88671875" style="538" customWidth="1"/>
    <col min="10764" max="10764" width="13.6640625" style="538" customWidth="1"/>
    <col min="10765" max="11008" width="11.44140625" style="538"/>
    <col min="11009" max="11009" width="4.6640625" style="538" customWidth="1"/>
    <col min="11010" max="11010" width="7.88671875" style="538" customWidth="1"/>
    <col min="11011" max="11011" width="2.88671875" style="538" customWidth="1"/>
    <col min="11012" max="11012" width="10.33203125" style="538" customWidth="1"/>
    <col min="11013" max="11013" width="7" style="538" customWidth="1"/>
    <col min="11014" max="11014" width="11.44140625" style="538" customWidth="1"/>
    <col min="11015" max="11015" width="3.44140625" style="538" customWidth="1"/>
    <col min="11016" max="11016" width="15.88671875" style="538" customWidth="1"/>
    <col min="11017" max="11017" width="3.88671875" style="538" customWidth="1"/>
    <col min="11018" max="11018" width="7" style="538" customWidth="1"/>
    <col min="11019" max="11019" width="3.88671875" style="538" customWidth="1"/>
    <col min="11020" max="11020" width="13.6640625" style="538" customWidth="1"/>
    <col min="11021" max="11264" width="11.44140625" style="538"/>
    <col min="11265" max="11265" width="4.6640625" style="538" customWidth="1"/>
    <col min="11266" max="11266" width="7.88671875" style="538" customWidth="1"/>
    <col min="11267" max="11267" width="2.88671875" style="538" customWidth="1"/>
    <col min="11268" max="11268" width="10.33203125" style="538" customWidth="1"/>
    <col min="11269" max="11269" width="7" style="538" customWidth="1"/>
    <col min="11270" max="11270" width="11.44140625" style="538" customWidth="1"/>
    <col min="11271" max="11271" width="3.44140625" style="538" customWidth="1"/>
    <col min="11272" max="11272" width="15.88671875" style="538" customWidth="1"/>
    <col min="11273" max="11273" width="3.88671875" style="538" customWidth="1"/>
    <col min="11274" max="11274" width="7" style="538" customWidth="1"/>
    <col min="11275" max="11275" width="3.88671875" style="538" customWidth="1"/>
    <col min="11276" max="11276" width="13.6640625" style="538" customWidth="1"/>
    <col min="11277" max="11520" width="11.44140625" style="538"/>
    <col min="11521" max="11521" width="4.6640625" style="538" customWidth="1"/>
    <col min="11522" max="11522" width="7.88671875" style="538" customWidth="1"/>
    <col min="11523" max="11523" width="2.88671875" style="538" customWidth="1"/>
    <col min="11524" max="11524" width="10.33203125" style="538" customWidth="1"/>
    <col min="11525" max="11525" width="7" style="538" customWidth="1"/>
    <col min="11526" max="11526" width="11.44140625" style="538" customWidth="1"/>
    <col min="11527" max="11527" width="3.44140625" style="538" customWidth="1"/>
    <col min="11528" max="11528" width="15.88671875" style="538" customWidth="1"/>
    <col min="11529" max="11529" width="3.88671875" style="538" customWidth="1"/>
    <col min="11530" max="11530" width="7" style="538" customWidth="1"/>
    <col min="11531" max="11531" width="3.88671875" style="538" customWidth="1"/>
    <col min="11532" max="11532" width="13.6640625" style="538" customWidth="1"/>
    <col min="11533" max="11776" width="11.44140625" style="538"/>
    <col min="11777" max="11777" width="4.6640625" style="538" customWidth="1"/>
    <col min="11778" max="11778" width="7.88671875" style="538" customWidth="1"/>
    <col min="11779" max="11779" width="2.88671875" style="538" customWidth="1"/>
    <col min="11780" max="11780" width="10.33203125" style="538" customWidth="1"/>
    <col min="11781" max="11781" width="7" style="538" customWidth="1"/>
    <col min="11782" max="11782" width="11.44140625" style="538" customWidth="1"/>
    <col min="11783" max="11783" width="3.44140625" style="538" customWidth="1"/>
    <col min="11784" max="11784" width="15.88671875" style="538" customWidth="1"/>
    <col min="11785" max="11785" width="3.88671875" style="538" customWidth="1"/>
    <col min="11786" max="11786" width="7" style="538" customWidth="1"/>
    <col min="11787" max="11787" width="3.88671875" style="538" customWidth="1"/>
    <col min="11788" max="11788" width="13.6640625" style="538" customWidth="1"/>
    <col min="11789" max="12032" width="11.44140625" style="538"/>
    <col min="12033" max="12033" width="4.6640625" style="538" customWidth="1"/>
    <col min="12034" max="12034" width="7.88671875" style="538" customWidth="1"/>
    <col min="12035" max="12035" width="2.88671875" style="538" customWidth="1"/>
    <col min="12036" max="12036" width="10.33203125" style="538" customWidth="1"/>
    <col min="12037" max="12037" width="7" style="538" customWidth="1"/>
    <col min="12038" max="12038" width="11.44140625" style="538" customWidth="1"/>
    <col min="12039" max="12039" width="3.44140625" style="538" customWidth="1"/>
    <col min="12040" max="12040" width="15.88671875" style="538" customWidth="1"/>
    <col min="12041" max="12041" width="3.88671875" style="538" customWidth="1"/>
    <col min="12042" max="12042" width="7" style="538" customWidth="1"/>
    <col min="12043" max="12043" width="3.88671875" style="538" customWidth="1"/>
    <col min="12044" max="12044" width="13.6640625" style="538" customWidth="1"/>
    <col min="12045" max="12288" width="11.44140625" style="538"/>
    <col min="12289" max="12289" width="4.6640625" style="538" customWidth="1"/>
    <col min="12290" max="12290" width="7.88671875" style="538" customWidth="1"/>
    <col min="12291" max="12291" width="2.88671875" style="538" customWidth="1"/>
    <col min="12292" max="12292" width="10.33203125" style="538" customWidth="1"/>
    <col min="12293" max="12293" width="7" style="538" customWidth="1"/>
    <col min="12294" max="12294" width="11.44140625" style="538" customWidth="1"/>
    <col min="12295" max="12295" width="3.44140625" style="538" customWidth="1"/>
    <col min="12296" max="12296" width="15.88671875" style="538" customWidth="1"/>
    <col min="12297" max="12297" width="3.88671875" style="538" customWidth="1"/>
    <col min="12298" max="12298" width="7" style="538" customWidth="1"/>
    <col min="12299" max="12299" width="3.88671875" style="538" customWidth="1"/>
    <col min="12300" max="12300" width="13.6640625" style="538" customWidth="1"/>
    <col min="12301" max="12544" width="11.44140625" style="538"/>
    <col min="12545" max="12545" width="4.6640625" style="538" customWidth="1"/>
    <col min="12546" max="12546" width="7.88671875" style="538" customWidth="1"/>
    <col min="12547" max="12547" width="2.88671875" style="538" customWidth="1"/>
    <col min="12548" max="12548" width="10.33203125" style="538" customWidth="1"/>
    <col min="12549" max="12549" width="7" style="538" customWidth="1"/>
    <col min="12550" max="12550" width="11.44140625" style="538" customWidth="1"/>
    <col min="12551" max="12551" width="3.44140625" style="538" customWidth="1"/>
    <col min="12552" max="12552" width="15.88671875" style="538" customWidth="1"/>
    <col min="12553" max="12553" width="3.88671875" style="538" customWidth="1"/>
    <col min="12554" max="12554" width="7" style="538" customWidth="1"/>
    <col min="12555" max="12555" width="3.88671875" style="538" customWidth="1"/>
    <col min="12556" max="12556" width="13.6640625" style="538" customWidth="1"/>
    <col min="12557" max="12800" width="11.44140625" style="538"/>
    <col min="12801" max="12801" width="4.6640625" style="538" customWidth="1"/>
    <col min="12802" max="12802" width="7.88671875" style="538" customWidth="1"/>
    <col min="12803" max="12803" width="2.88671875" style="538" customWidth="1"/>
    <col min="12804" max="12804" width="10.33203125" style="538" customWidth="1"/>
    <col min="12805" max="12805" width="7" style="538" customWidth="1"/>
    <col min="12806" max="12806" width="11.44140625" style="538" customWidth="1"/>
    <col min="12807" max="12807" width="3.44140625" style="538" customWidth="1"/>
    <col min="12808" max="12808" width="15.88671875" style="538" customWidth="1"/>
    <col min="12809" max="12809" width="3.88671875" style="538" customWidth="1"/>
    <col min="12810" max="12810" width="7" style="538" customWidth="1"/>
    <col min="12811" max="12811" width="3.88671875" style="538" customWidth="1"/>
    <col min="12812" max="12812" width="13.6640625" style="538" customWidth="1"/>
    <col min="12813" max="13056" width="11.44140625" style="538"/>
    <col min="13057" max="13057" width="4.6640625" style="538" customWidth="1"/>
    <col min="13058" max="13058" width="7.88671875" style="538" customWidth="1"/>
    <col min="13059" max="13059" width="2.88671875" style="538" customWidth="1"/>
    <col min="13060" max="13060" width="10.33203125" style="538" customWidth="1"/>
    <col min="13061" max="13061" width="7" style="538" customWidth="1"/>
    <col min="13062" max="13062" width="11.44140625" style="538" customWidth="1"/>
    <col min="13063" max="13063" width="3.44140625" style="538" customWidth="1"/>
    <col min="13064" max="13064" width="15.88671875" style="538" customWidth="1"/>
    <col min="13065" max="13065" width="3.88671875" style="538" customWidth="1"/>
    <col min="13066" max="13066" width="7" style="538" customWidth="1"/>
    <col min="13067" max="13067" width="3.88671875" style="538" customWidth="1"/>
    <col min="13068" max="13068" width="13.6640625" style="538" customWidth="1"/>
    <col min="13069" max="13312" width="11.44140625" style="538"/>
    <col min="13313" max="13313" width="4.6640625" style="538" customWidth="1"/>
    <col min="13314" max="13314" width="7.88671875" style="538" customWidth="1"/>
    <col min="13315" max="13315" width="2.88671875" style="538" customWidth="1"/>
    <col min="13316" max="13316" width="10.33203125" style="538" customWidth="1"/>
    <col min="13317" max="13317" width="7" style="538" customWidth="1"/>
    <col min="13318" max="13318" width="11.44140625" style="538" customWidth="1"/>
    <col min="13319" max="13319" width="3.44140625" style="538" customWidth="1"/>
    <col min="13320" max="13320" width="15.88671875" style="538" customWidth="1"/>
    <col min="13321" max="13321" width="3.88671875" style="538" customWidth="1"/>
    <col min="13322" max="13322" width="7" style="538" customWidth="1"/>
    <col min="13323" max="13323" width="3.88671875" style="538" customWidth="1"/>
    <col min="13324" max="13324" width="13.6640625" style="538" customWidth="1"/>
    <col min="13325" max="13568" width="11.44140625" style="538"/>
    <col min="13569" max="13569" width="4.6640625" style="538" customWidth="1"/>
    <col min="13570" max="13570" width="7.88671875" style="538" customWidth="1"/>
    <col min="13571" max="13571" width="2.88671875" style="538" customWidth="1"/>
    <col min="13572" max="13572" width="10.33203125" style="538" customWidth="1"/>
    <col min="13573" max="13573" width="7" style="538" customWidth="1"/>
    <col min="13574" max="13574" width="11.44140625" style="538" customWidth="1"/>
    <col min="13575" max="13575" width="3.44140625" style="538" customWidth="1"/>
    <col min="13576" max="13576" width="15.88671875" style="538" customWidth="1"/>
    <col min="13577" max="13577" width="3.88671875" style="538" customWidth="1"/>
    <col min="13578" max="13578" width="7" style="538" customWidth="1"/>
    <col min="13579" max="13579" width="3.88671875" style="538" customWidth="1"/>
    <col min="13580" max="13580" width="13.6640625" style="538" customWidth="1"/>
    <col min="13581" max="13824" width="11.44140625" style="538"/>
    <col min="13825" max="13825" width="4.6640625" style="538" customWidth="1"/>
    <col min="13826" max="13826" width="7.88671875" style="538" customWidth="1"/>
    <col min="13827" max="13827" width="2.88671875" style="538" customWidth="1"/>
    <col min="13828" max="13828" width="10.33203125" style="538" customWidth="1"/>
    <col min="13829" max="13829" width="7" style="538" customWidth="1"/>
    <col min="13830" max="13830" width="11.44140625" style="538" customWidth="1"/>
    <col min="13831" max="13831" width="3.44140625" style="538" customWidth="1"/>
    <col min="13832" max="13832" width="15.88671875" style="538" customWidth="1"/>
    <col min="13833" max="13833" width="3.88671875" style="538" customWidth="1"/>
    <col min="13834" max="13834" width="7" style="538" customWidth="1"/>
    <col min="13835" max="13835" width="3.88671875" style="538" customWidth="1"/>
    <col min="13836" max="13836" width="13.6640625" style="538" customWidth="1"/>
    <col min="13837" max="14080" width="11.44140625" style="538"/>
    <col min="14081" max="14081" width="4.6640625" style="538" customWidth="1"/>
    <col min="14082" max="14082" width="7.88671875" style="538" customWidth="1"/>
    <col min="14083" max="14083" width="2.88671875" style="538" customWidth="1"/>
    <col min="14084" max="14084" width="10.33203125" style="538" customWidth="1"/>
    <col min="14085" max="14085" width="7" style="538" customWidth="1"/>
    <col min="14086" max="14086" width="11.44140625" style="538" customWidth="1"/>
    <col min="14087" max="14087" width="3.44140625" style="538" customWidth="1"/>
    <col min="14088" max="14088" width="15.88671875" style="538" customWidth="1"/>
    <col min="14089" max="14089" width="3.88671875" style="538" customWidth="1"/>
    <col min="14090" max="14090" width="7" style="538" customWidth="1"/>
    <col min="14091" max="14091" width="3.88671875" style="538" customWidth="1"/>
    <col min="14092" max="14092" width="13.6640625" style="538" customWidth="1"/>
    <col min="14093" max="14336" width="11.44140625" style="538"/>
    <col min="14337" max="14337" width="4.6640625" style="538" customWidth="1"/>
    <col min="14338" max="14338" width="7.88671875" style="538" customWidth="1"/>
    <col min="14339" max="14339" width="2.88671875" style="538" customWidth="1"/>
    <col min="14340" max="14340" width="10.33203125" style="538" customWidth="1"/>
    <col min="14341" max="14341" width="7" style="538" customWidth="1"/>
    <col min="14342" max="14342" width="11.44140625" style="538" customWidth="1"/>
    <col min="14343" max="14343" width="3.44140625" style="538" customWidth="1"/>
    <col min="14344" max="14344" width="15.88671875" style="538" customWidth="1"/>
    <col min="14345" max="14345" width="3.88671875" style="538" customWidth="1"/>
    <col min="14346" max="14346" width="7" style="538" customWidth="1"/>
    <col min="14347" max="14347" width="3.88671875" style="538" customWidth="1"/>
    <col min="14348" max="14348" width="13.6640625" style="538" customWidth="1"/>
    <col min="14349" max="14592" width="11.44140625" style="538"/>
    <col min="14593" max="14593" width="4.6640625" style="538" customWidth="1"/>
    <col min="14594" max="14594" width="7.88671875" style="538" customWidth="1"/>
    <col min="14595" max="14595" width="2.88671875" style="538" customWidth="1"/>
    <col min="14596" max="14596" width="10.33203125" style="538" customWidth="1"/>
    <col min="14597" max="14597" width="7" style="538" customWidth="1"/>
    <col min="14598" max="14598" width="11.44140625" style="538" customWidth="1"/>
    <col min="14599" max="14599" width="3.44140625" style="538" customWidth="1"/>
    <col min="14600" max="14600" width="15.88671875" style="538" customWidth="1"/>
    <col min="14601" max="14601" width="3.88671875" style="538" customWidth="1"/>
    <col min="14602" max="14602" width="7" style="538" customWidth="1"/>
    <col min="14603" max="14603" width="3.88671875" style="538" customWidth="1"/>
    <col min="14604" max="14604" width="13.6640625" style="538" customWidth="1"/>
    <col min="14605" max="14848" width="11.44140625" style="538"/>
    <col min="14849" max="14849" width="4.6640625" style="538" customWidth="1"/>
    <col min="14850" max="14850" width="7.88671875" style="538" customWidth="1"/>
    <col min="14851" max="14851" width="2.88671875" style="538" customWidth="1"/>
    <col min="14852" max="14852" width="10.33203125" style="538" customWidth="1"/>
    <col min="14853" max="14853" width="7" style="538" customWidth="1"/>
    <col min="14854" max="14854" width="11.44140625" style="538" customWidth="1"/>
    <col min="14855" max="14855" width="3.44140625" style="538" customWidth="1"/>
    <col min="14856" max="14856" width="15.88671875" style="538" customWidth="1"/>
    <col min="14857" max="14857" width="3.88671875" style="538" customWidth="1"/>
    <col min="14858" max="14858" width="7" style="538" customWidth="1"/>
    <col min="14859" max="14859" width="3.88671875" style="538" customWidth="1"/>
    <col min="14860" max="14860" width="13.6640625" style="538" customWidth="1"/>
    <col min="14861" max="15104" width="11.44140625" style="538"/>
    <col min="15105" max="15105" width="4.6640625" style="538" customWidth="1"/>
    <col min="15106" max="15106" width="7.88671875" style="538" customWidth="1"/>
    <col min="15107" max="15107" width="2.88671875" style="538" customWidth="1"/>
    <col min="15108" max="15108" width="10.33203125" style="538" customWidth="1"/>
    <col min="15109" max="15109" width="7" style="538" customWidth="1"/>
    <col min="15110" max="15110" width="11.44140625" style="538" customWidth="1"/>
    <col min="15111" max="15111" width="3.44140625" style="538" customWidth="1"/>
    <col min="15112" max="15112" width="15.88671875" style="538" customWidth="1"/>
    <col min="15113" max="15113" width="3.88671875" style="538" customWidth="1"/>
    <col min="15114" max="15114" width="7" style="538" customWidth="1"/>
    <col min="15115" max="15115" width="3.88671875" style="538" customWidth="1"/>
    <col min="15116" max="15116" width="13.6640625" style="538" customWidth="1"/>
    <col min="15117" max="15360" width="11.44140625" style="538"/>
    <col min="15361" max="15361" width="4.6640625" style="538" customWidth="1"/>
    <col min="15362" max="15362" width="7.88671875" style="538" customWidth="1"/>
    <col min="15363" max="15363" width="2.88671875" style="538" customWidth="1"/>
    <col min="15364" max="15364" width="10.33203125" style="538" customWidth="1"/>
    <col min="15365" max="15365" width="7" style="538" customWidth="1"/>
    <col min="15366" max="15366" width="11.44140625" style="538" customWidth="1"/>
    <col min="15367" max="15367" width="3.44140625" style="538" customWidth="1"/>
    <col min="15368" max="15368" width="15.88671875" style="538" customWidth="1"/>
    <col min="15369" max="15369" width="3.88671875" style="538" customWidth="1"/>
    <col min="15370" max="15370" width="7" style="538" customWidth="1"/>
    <col min="15371" max="15371" width="3.88671875" style="538" customWidth="1"/>
    <col min="15372" max="15372" width="13.6640625" style="538" customWidth="1"/>
    <col min="15373" max="15616" width="11.44140625" style="538"/>
    <col min="15617" max="15617" width="4.6640625" style="538" customWidth="1"/>
    <col min="15618" max="15618" width="7.88671875" style="538" customWidth="1"/>
    <col min="15619" max="15619" width="2.88671875" style="538" customWidth="1"/>
    <col min="15620" max="15620" width="10.33203125" style="538" customWidth="1"/>
    <col min="15621" max="15621" width="7" style="538" customWidth="1"/>
    <col min="15622" max="15622" width="11.44140625" style="538" customWidth="1"/>
    <col min="15623" max="15623" width="3.44140625" style="538" customWidth="1"/>
    <col min="15624" max="15624" width="15.88671875" style="538" customWidth="1"/>
    <col min="15625" max="15625" width="3.88671875" style="538" customWidth="1"/>
    <col min="15626" max="15626" width="7" style="538" customWidth="1"/>
    <col min="15627" max="15627" width="3.88671875" style="538" customWidth="1"/>
    <col min="15628" max="15628" width="13.6640625" style="538" customWidth="1"/>
    <col min="15629" max="15872" width="11.44140625" style="538"/>
    <col min="15873" max="15873" width="4.6640625" style="538" customWidth="1"/>
    <col min="15874" max="15874" width="7.88671875" style="538" customWidth="1"/>
    <col min="15875" max="15875" width="2.88671875" style="538" customWidth="1"/>
    <col min="15876" max="15876" width="10.33203125" style="538" customWidth="1"/>
    <col min="15877" max="15877" width="7" style="538" customWidth="1"/>
    <col min="15878" max="15878" width="11.44140625" style="538" customWidth="1"/>
    <col min="15879" max="15879" width="3.44140625" style="538" customWidth="1"/>
    <col min="15880" max="15880" width="15.88671875" style="538" customWidth="1"/>
    <col min="15881" max="15881" width="3.88671875" style="538" customWidth="1"/>
    <col min="15882" max="15882" width="7" style="538" customWidth="1"/>
    <col min="15883" max="15883" width="3.88671875" style="538" customWidth="1"/>
    <col min="15884" max="15884" width="13.6640625" style="538" customWidth="1"/>
    <col min="15885" max="16128" width="11.44140625" style="538"/>
    <col min="16129" max="16129" width="4.6640625" style="538" customWidth="1"/>
    <col min="16130" max="16130" width="7.88671875" style="538" customWidth="1"/>
    <col min="16131" max="16131" width="2.88671875" style="538" customWidth="1"/>
    <col min="16132" max="16132" width="10.33203125" style="538" customWidth="1"/>
    <col min="16133" max="16133" width="7" style="538" customWidth="1"/>
    <col min="16134" max="16134" width="11.44140625" style="538" customWidth="1"/>
    <col min="16135" max="16135" width="3.44140625" style="538" customWidth="1"/>
    <col min="16136" max="16136" width="15.88671875" style="538" customWidth="1"/>
    <col min="16137" max="16137" width="3.88671875" style="538" customWidth="1"/>
    <col min="16138" max="16138" width="7" style="538" customWidth="1"/>
    <col min="16139" max="16139" width="3.88671875" style="538" customWidth="1"/>
    <col min="16140" max="16140" width="13.6640625" style="538" customWidth="1"/>
    <col min="16141" max="16384" width="11.44140625" style="538"/>
  </cols>
  <sheetData>
    <row r="1" spans="2:13">
      <c r="B1" s="537"/>
      <c r="C1" s="537"/>
      <c r="D1" s="537"/>
      <c r="E1" s="537"/>
      <c r="F1" s="537"/>
      <c r="G1" s="537"/>
      <c r="H1" s="537"/>
      <c r="I1" s="537"/>
      <c r="J1" s="537"/>
      <c r="K1" s="537"/>
      <c r="L1" s="537"/>
    </row>
    <row r="2" spans="2:13" ht="15.6">
      <c r="B2" s="1220" t="s">
        <v>3</v>
      </c>
      <c r="C2" s="1220"/>
      <c r="D2" s="1220"/>
      <c r="E2" s="1220"/>
      <c r="F2" s="1220"/>
      <c r="G2" s="1220"/>
      <c r="H2" s="1220"/>
      <c r="I2" s="1220"/>
      <c r="J2" s="1220"/>
      <c r="K2" s="1220"/>
      <c r="L2" s="1220"/>
    </row>
    <row r="3" spans="2:13">
      <c r="B3" s="537"/>
      <c r="C3" s="537"/>
      <c r="D3" s="537"/>
      <c r="E3" s="537"/>
      <c r="F3" s="537"/>
      <c r="G3" s="537"/>
      <c r="H3" s="537"/>
      <c r="I3" s="537"/>
      <c r="J3" s="537"/>
      <c r="K3" s="537"/>
      <c r="L3" s="537"/>
    </row>
    <row r="4" spans="2:13" ht="15.6">
      <c r="B4" s="1220" t="s">
        <v>305</v>
      </c>
      <c r="C4" s="1220"/>
      <c r="D4" s="1220"/>
      <c r="E4" s="1220"/>
      <c r="F4" s="1220"/>
      <c r="G4" s="1220"/>
      <c r="H4" s="1220"/>
      <c r="I4" s="1220"/>
      <c r="J4" s="1220"/>
      <c r="K4" s="1220"/>
      <c r="L4" s="1220"/>
    </row>
    <row r="5" spans="2:13" ht="15.6">
      <c r="B5" s="1220" t="s">
        <v>306</v>
      </c>
      <c r="C5" s="1220"/>
      <c r="D5" s="1220"/>
      <c r="E5" s="1220"/>
      <c r="F5" s="1220"/>
      <c r="G5" s="1220"/>
      <c r="H5" s="1220"/>
      <c r="I5" s="1220"/>
      <c r="J5" s="1220"/>
      <c r="K5" s="1220"/>
      <c r="L5" s="1220"/>
    </row>
    <row r="6" spans="2:13" ht="16.2" thickBot="1">
      <c r="B6" s="1221" t="s">
        <v>376</v>
      </c>
      <c r="C6" s="1221"/>
      <c r="D6" s="1221"/>
      <c r="E6" s="1221"/>
      <c r="F6" s="1221"/>
      <c r="G6" s="1221"/>
      <c r="H6" s="1221"/>
      <c r="I6" s="1221"/>
      <c r="J6" s="1221"/>
      <c r="K6" s="1221"/>
      <c r="L6" s="1221"/>
    </row>
    <row r="7" spans="2:13">
      <c r="B7" s="539" t="s">
        <v>307</v>
      </c>
      <c r="C7" s="540"/>
      <c r="D7" s="540"/>
      <c r="E7" s="540"/>
      <c r="F7" s="540"/>
      <c r="G7" s="540"/>
      <c r="H7" s="589">
        <v>44348</v>
      </c>
      <c r="I7" s="540"/>
      <c r="J7" s="540"/>
      <c r="K7" s="540"/>
      <c r="L7" s="541"/>
    </row>
    <row r="8" spans="2:13" ht="16.2" thickBot="1">
      <c r="B8" s="542" t="s">
        <v>308</v>
      </c>
      <c r="C8" s="543" t="s">
        <v>309</v>
      </c>
      <c r="D8" s="543" t="s">
        <v>310</v>
      </c>
      <c r="E8" s="543"/>
      <c r="F8" s="543"/>
      <c r="G8" s="543"/>
      <c r="H8" s="543"/>
      <c r="I8" s="543"/>
      <c r="J8" s="587">
        <f>AB40</f>
        <v>104.9</v>
      </c>
      <c r="K8" s="543"/>
      <c r="L8" s="544">
        <f>+H7</f>
        <v>44348</v>
      </c>
      <c r="M8" s="545"/>
    </row>
    <row r="9" spans="2:13" ht="13.8" thickBot="1">
      <c r="B9" s="537"/>
      <c r="C9" s="537"/>
      <c r="D9" s="537"/>
      <c r="E9" s="537"/>
      <c r="F9" s="537"/>
      <c r="G9" s="537"/>
      <c r="H9" s="537"/>
      <c r="I9" s="537"/>
      <c r="J9" s="537"/>
      <c r="K9" s="537"/>
      <c r="L9" s="537"/>
    </row>
    <row r="10" spans="2:13" ht="15.6">
      <c r="B10" s="539" t="s">
        <v>311</v>
      </c>
      <c r="C10" s="546"/>
      <c r="D10" s="546"/>
      <c r="E10" s="540"/>
      <c r="F10" s="540"/>
      <c r="G10" s="540"/>
      <c r="H10" s="589">
        <v>44743</v>
      </c>
      <c r="I10" s="547"/>
      <c r="J10" s="547"/>
      <c r="K10" s="547"/>
      <c r="L10" s="541"/>
    </row>
    <row r="11" spans="2:13" ht="16.2" thickBot="1">
      <c r="B11" s="542" t="s">
        <v>312</v>
      </c>
      <c r="C11" s="543" t="s">
        <v>309</v>
      </c>
      <c r="D11" s="543" t="s">
        <v>313</v>
      </c>
      <c r="E11" s="543"/>
      <c r="F11" s="543"/>
      <c r="G11" s="543"/>
      <c r="H11" s="543"/>
      <c r="I11" s="543"/>
      <c r="J11" s="590">
        <v>105.7</v>
      </c>
      <c r="K11" s="543"/>
      <c r="L11" s="544">
        <v>44531</v>
      </c>
    </row>
    <row r="12" spans="2:13" ht="16.2" thickBot="1">
      <c r="B12" s="548"/>
      <c r="C12" s="549"/>
      <c r="D12" s="549"/>
      <c r="E12" s="537"/>
      <c r="F12" s="537"/>
      <c r="G12" s="537"/>
      <c r="H12" s="550"/>
      <c r="I12" s="581"/>
      <c r="J12" s="581"/>
      <c r="K12" s="581"/>
      <c r="L12" s="537"/>
    </row>
    <row r="13" spans="2:13" ht="13.8" thickBot="1">
      <c r="B13" s="551" t="s">
        <v>314</v>
      </c>
      <c r="C13" s="540"/>
      <c r="D13" s="552"/>
      <c r="E13" s="540"/>
      <c r="F13" s="552"/>
      <c r="G13" s="540"/>
      <c r="H13" s="540"/>
      <c r="I13" s="540"/>
      <c r="J13" s="540"/>
      <c r="K13" s="540"/>
      <c r="L13" s="541"/>
    </row>
    <row r="14" spans="2:13" ht="16.2" thickBot="1">
      <c r="B14" s="553"/>
      <c r="C14" s="554"/>
      <c r="D14" s="555" t="s">
        <v>315</v>
      </c>
      <c r="E14" s="1215" t="s">
        <v>309</v>
      </c>
      <c r="F14" s="556">
        <f>+J11</f>
        <v>105.7</v>
      </c>
      <c r="G14" s="1215" t="s">
        <v>309</v>
      </c>
      <c r="H14" s="1217">
        <f>+J11/J8</f>
        <v>1.0076263107721639</v>
      </c>
      <c r="I14" s="1222"/>
      <c r="J14" s="1222"/>
      <c r="K14" s="537"/>
      <c r="L14" s="557"/>
    </row>
    <row r="15" spans="2:13" ht="16.2" thickBot="1">
      <c r="B15" s="553"/>
      <c r="C15" s="558"/>
      <c r="D15" s="559" t="s">
        <v>316</v>
      </c>
      <c r="E15" s="1216"/>
      <c r="F15" s="556">
        <f>+J8</f>
        <v>104.9</v>
      </c>
      <c r="G15" s="1216"/>
      <c r="H15" s="1218"/>
      <c r="I15" s="1222"/>
      <c r="J15" s="1222"/>
      <c r="K15" s="537"/>
      <c r="L15" s="557"/>
    </row>
    <row r="16" spans="2:13" ht="16.2" thickBot="1">
      <c r="B16" s="553"/>
      <c r="C16" s="537"/>
      <c r="D16" s="560"/>
      <c r="E16" s="582"/>
      <c r="F16" s="561"/>
      <c r="G16" s="582"/>
      <c r="H16" s="582"/>
      <c r="I16" s="582"/>
      <c r="J16" s="582"/>
      <c r="K16" s="537"/>
      <c r="L16" s="557"/>
    </row>
    <row r="17" spans="2:32">
      <c r="B17" s="553"/>
      <c r="C17" s="554"/>
      <c r="D17" s="1213">
        <f>+H14</f>
        <v>1.0076263107721639</v>
      </c>
      <c r="E17" s="1215" t="s">
        <v>317</v>
      </c>
      <c r="F17" s="1215">
        <v>0.67</v>
      </c>
      <c r="G17" s="1215" t="s">
        <v>309</v>
      </c>
      <c r="H17" s="1217">
        <f>+F17*D17</f>
        <v>0.67510962821734988</v>
      </c>
      <c r="I17" s="582"/>
      <c r="J17" s="582"/>
      <c r="K17" s="537"/>
      <c r="L17" s="557"/>
    </row>
    <row r="18" spans="2:32" ht="13.8" thickBot="1">
      <c r="B18" s="553"/>
      <c r="C18" s="558"/>
      <c r="D18" s="1214"/>
      <c r="E18" s="1216"/>
      <c r="F18" s="1216"/>
      <c r="G18" s="1216"/>
      <c r="H18" s="1218"/>
      <c r="I18" s="537"/>
      <c r="J18" s="537"/>
      <c r="K18" s="537"/>
      <c r="L18" s="557"/>
      <c r="M18" s="1219"/>
    </row>
    <row r="19" spans="2:32" ht="13.8" thickBot="1">
      <c r="B19" s="553"/>
      <c r="C19" s="537"/>
      <c r="D19" s="560"/>
      <c r="E19" s="582"/>
      <c r="F19" s="582"/>
      <c r="G19" s="582"/>
      <c r="H19" s="582"/>
      <c r="I19" s="537"/>
      <c r="J19" s="537"/>
      <c r="K19" s="537"/>
      <c r="L19" s="557"/>
      <c r="M19" s="1219"/>
    </row>
    <row r="20" spans="2:32" ht="18" thickBot="1">
      <c r="B20" s="553"/>
      <c r="C20" s="562"/>
      <c r="D20" s="563">
        <f>+H17</f>
        <v>0.67510962821734988</v>
      </c>
      <c r="E20" s="563" t="s">
        <v>318</v>
      </c>
      <c r="F20" s="563">
        <v>0.33</v>
      </c>
      <c r="G20" s="563" t="s">
        <v>309</v>
      </c>
      <c r="H20" s="564">
        <f>ROUND(+F20+D20,4)</f>
        <v>1.0051000000000001</v>
      </c>
      <c r="I20" s="537"/>
      <c r="K20" s="537"/>
      <c r="L20" s="565">
        <f>+H20</f>
        <v>1.0051000000000001</v>
      </c>
    </row>
    <row r="21" spans="2:32" ht="15.6">
      <c r="B21" s="553"/>
      <c r="C21" s="537"/>
      <c r="D21" s="566"/>
      <c r="E21" s="566"/>
      <c r="F21" s="566"/>
      <c r="G21" s="566"/>
      <c r="H21" s="567"/>
      <c r="I21" s="537"/>
      <c r="J21" s="537"/>
      <c r="K21" s="537"/>
      <c r="L21" s="557"/>
      <c r="M21" s="568"/>
    </row>
    <row r="22" spans="2:32" ht="13.8" thickBot="1">
      <c r="B22" s="558"/>
      <c r="C22" s="543"/>
      <c r="D22" s="543"/>
      <c r="E22" s="543"/>
      <c r="F22" s="543"/>
      <c r="G22" s="543"/>
      <c r="H22" s="543"/>
      <c r="I22" s="543"/>
      <c r="J22" s="543"/>
      <c r="K22" s="543"/>
      <c r="L22" s="569"/>
    </row>
    <row r="23" spans="2:32">
      <c r="B23" s="537"/>
      <c r="C23" s="537"/>
      <c r="D23" s="537"/>
      <c r="E23" s="537"/>
      <c r="F23" s="537"/>
      <c r="G23" s="537"/>
      <c r="H23" s="537"/>
      <c r="I23" s="537"/>
      <c r="J23" s="537"/>
      <c r="K23" s="537"/>
      <c r="L23" s="537"/>
    </row>
    <row r="24" spans="2:32">
      <c r="B24" s="537"/>
      <c r="C24" s="537"/>
      <c r="D24" s="537"/>
      <c r="E24" s="537"/>
      <c r="F24" s="537"/>
      <c r="G24" s="537"/>
      <c r="H24" s="537"/>
      <c r="I24" s="537"/>
      <c r="J24" s="537"/>
      <c r="K24" s="537"/>
      <c r="L24" s="537"/>
    </row>
    <row r="25" spans="2:32">
      <c r="B25" s="537"/>
      <c r="C25" s="537"/>
      <c r="D25" s="537"/>
      <c r="E25" s="537"/>
      <c r="F25" s="537"/>
      <c r="G25" s="537"/>
      <c r="H25" s="537"/>
      <c r="I25" s="537"/>
      <c r="J25" s="537"/>
      <c r="K25" s="537"/>
      <c r="L25" s="537"/>
    </row>
    <row r="26" spans="2:32">
      <c r="B26" s="537"/>
      <c r="C26" s="537"/>
      <c r="D26" s="537"/>
      <c r="E26" s="537"/>
      <c r="F26" s="537"/>
      <c r="G26" s="537"/>
      <c r="H26" s="537"/>
      <c r="I26" s="537"/>
      <c r="J26" s="537"/>
      <c r="K26" s="537"/>
      <c r="L26" s="537"/>
    </row>
    <row r="27" spans="2:32">
      <c r="B27" s="537"/>
      <c r="C27" s="537"/>
      <c r="D27" s="537"/>
      <c r="E27" s="537"/>
      <c r="F27" s="537"/>
      <c r="G27" s="537"/>
      <c r="H27" s="537"/>
      <c r="I27" s="537"/>
      <c r="J27" s="537"/>
      <c r="K27" s="537"/>
      <c r="L27" s="537"/>
    </row>
    <row r="28" spans="2:32">
      <c r="B28" s="537"/>
      <c r="C28" s="537"/>
      <c r="D28" s="537"/>
      <c r="E28" s="537"/>
      <c r="F28" s="537"/>
      <c r="G28" s="537"/>
      <c r="H28" s="537"/>
      <c r="I28" s="537"/>
      <c r="J28" s="537"/>
      <c r="K28" s="537"/>
      <c r="L28" s="537"/>
    </row>
    <row r="29" spans="2:32">
      <c r="B29" s="537"/>
      <c r="C29" s="537"/>
      <c r="D29" s="537"/>
      <c r="E29" s="537"/>
      <c r="F29" s="537"/>
      <c r="G29" s="537"/>
      <c r="H29" s="537"/>
      <c r="I29" s="537"/>
      <c r="J29" s="537"/>
      <c r="K29" s="537"/>
      <c r="L29" s="537"/>
    </row>
    <row r="30" spans="2:32">
      <c r="B30" s="537"/>
      <c r="C30" s="537"/>
      <c r="D30" s="537"/>
      <c r="E30" s="537"/>
      <c r="F30" s="537"/>
      <c r="G30" s="537"/>
      <c r="H30" s="537"/>
      <c r="I30" s="537"/>
      <c r="J30" s="537"/>
      <c r="K30" s="537"/>
      <c r="L30" s="537"/>
    </row>
    <row r="31" spans="2:32">
      <c r="B31" s="537"/>
      <c r="C31" s="537"/>
      <c r="D31" s="537"/>
      <c r="E31" s="537"/>
      <c r="F31" s="537"/>
      <c r="G31" s="537"/>
      <c r="H31" s="537"/>
      <c r="I31" s="537"/>
      <c r="J31" s="537"/>
      <c r="K31" s="537"/>
      <c r="L31" s="537"/>
      <c r="AE31"/>
      <c r="AF31"/>
    </row>
    <row r="32" spans="2:32" ht="13.8" thickBot="1">
      <c r="B32" s="537"/>
      <c r="C32" s="537"/>
      <c r="D32" s="537"/>
      <c r="E32" s="537"/>
      <c r="F32" s="537"/>
      <c r="G32" s="537"/>
      <c r="H32" s="537"/>
      <c r="I32" s="537"/>
      <c r="J32" s="537"/>
      <c r="K32" s="537"/>
      <c r="L32" s="537"/>
      <c r="AE32"/>
      <c r="AF32"/>
    </row>
    <row r="33" spans="4:32" ht="14.4" thickBot="1">
      <c r="P33" s="591">
        <v>2016</v>
      </c>
      <c r="Q33" s="1225">
        <v>2017</v>
      </c>
      <c r="R33" s="1225"/>
      <c r="S33" s="1225"/>
      <c r="T33" s="592"/>
      <c r="U33" s="1226">
        <v>2018</v>
      </c>
      <c r="V33" s="1225"/>
      <c r="W33" s="1226">
        <v>2019</v>
      </c>
      <c r="X33" s="1225"/>
      <c r="Y33" s="1225">
        <v>2020</v>
      </c>
      <c r="Z33" s="1225"/>
      <c r="AA33" s="1227">
        <v>2021</v>
      </c>
      <c r="AB33" s="1227"/>
      <c r="AC33" s="593"/>
      <c r="AD33" s="1223">
        <v>2022</v>
      </c>
      <c r="AE33" s="1223"/>
      <c r="AF33" s="1224"/>
    </row>
    <row r="34" spans="4:32" ht="39.6">
      <c r="D34" s="1211" t="s">
        <v>319</v>
      </c>
      <c r="E34" s="1212"/>
      <c r="P34" s="594" t="s">
        <v>324</v>
      </c>
      <c r="Q34" s="576"/>
      <c r="R34" s="595" t="s">
        <v>325</v>
      </c>
      <c r="S34" s="596" t="s">
        <v>324</v>
      </c>
      <c r="T34" s="597" t="s">
        <v>326</v>
      </c>
      <c r="U34" s="596" t="s">
        <v>327</v>
      </c>
      <c r="V34" s="597" t="s">
        <v>328</v>
      </c>
      <c r="W34" s="596" t="s">
        <v>329</v>
      </c>
      <c r="X34" s="597" t="s">
        <v>330</v>
      </c>
      <c r="Y34" s="596" t="s">
        <v>331</v>
      </c>
      <c r="Z34" s="597" t="s">
        <v>332</v>
      </c>
      <c r="AA34" s="598"/>
      <c r="AB34" s="596" t="s">
        <v>331</v>
      </c>
      <c r="AC34" s="597" t="s">
        <v>332</v>
      </c>
      <c r="AD34" s="598"/>
      <c r="AE34" s="596" t="s">
        <v>333</v>
      </c>
      <c r="AF34" s="597" t="s">
        <v>334</v>
      </c>
    </row>
    <row r="35" spans="4:32" ht="13.8">
      <c r="D35" s="570">
        <f>+L8</f>
        <v>44348</v>
      </c>
      <c r="E35" s="571">
        <f>+J8</f>
        <v>104.9</v>
      </c>
      <c r="P35" s="599">
        <v>102.6</v>
      </c>
      <c r="Q35" s="600" t="s">
        <v>335</v>
      </c>
      <c r="R35" s="601">
        <v>154.46830000000014</v>
      </c>
      <c r="S35" s="599">
        <v>104.3</v>
      </c>
      <c r="T35" s="586">
        <f>(+(S35/P35)-1)</f>
        <v>1.6569200779727122E-2</v>
      </c>
      <c r="U35" s="599">
        <v>104.7</v>
      </c>
      <c r="V35" s="586">
        <f>(+(U35/S35)-1)</f>
        <v>3.835091083413289E-3</v>
      </c>
      <c r="W35" s="602">
        <v>104.38</v>
      </c>
      <c r="X35" s="586">
        <f>(+(W35/U35)-1)</f>
        <v>-3.0563514804202718E-3</v>
      </c>
      <c r="Y35" s="602">
        <v>104.75229999999998</v>
      </c>
      <c r="Z35" s="586">
        <f>(+(Y35/W35)-1)</f>
        <v>3.5667752442996026E-3</v>
      </c>
      <c r="AA35" s="586">
        <f>(+AB35*AC35)*-1+AB35</f>
        <v>104.10219059629237</v>
      </c>
      <c r="AB35" s="602">
        <v>96.5</v>
      </c>
      <c r="AC35" s="586">
        <f t="shared" ref="AC35:AC45" si="0">(+(AB35/Y35)-1)</f>
        <v>-7.877917716365157E-2</v>
      </c>
      <c r="AD35" s="586">
        <f t="shared" ref="AD35:AD40" si="1">(+AE35*AF35)*-1+AE35</f>
        <v>95.567403320621764</v>
      </c>
      <c r="AE35" s="603">
        <v>105.9866</v>
      </c>
      <c r="AF35" s="586">
        <f>(+(AE35/AB35)-1)</f>
        <v>9.8306735751295227E-2</v>
      </c>
    </row>
    <row r="36" spans="4:32" ht="13.8">
      <c r="D36" s="572">
        <f>+L11</f>
        <v>44531</v>
      </c>
      <c r="E36" s="573">
        <f>+J11</f>
        <v>105.7</v>
      </c>
      <c r="P36" s="604">
        <v>102.7</v>
      </c>
      <c r="Q36" s="605" t="s">
        <v>336</v>
      </c>
      <c r="R36" s="601">
        <v>154.9126</v>
      </c>
      <c r="S36" s="604">
        <v>104.6</v>
      </c>
      <c r="T36" s="606">
        <f t="shared" ref="T36:T46" si="2">(+(S36/P36)-1)</f>
        <v>1.8500486854917231E-2</v>
      </c>
      <c r="U36" s="604">
        <v>105</v>
      </c>
      <c r="V36" s="606">
        <f t="shared" ref="V36:V46" si="3">(+(U36/S36)-1)</f>
        <v>3.8240917782026429E-3</v>
      </c>
      <c r="W36" s="602">
        <v>104.47</v>
      </c>
      <c r="X36" s="606">
        <f t="shared" ref="X36:X46" si="4">(+(W36/U36)-1)</f>
        <v>-5.0476190476190785E-3</v>
      </c>
      <c r="Y36" s="602">
        <v>104.5</v>
      </c>
      <c r="Z36" s="606">
        <f>(+(Y36/W36)-1)</f>
        <v>2.8716377907533897E-4</v>
      </c>
      <c r="AA36" s="586">
        <f>(+AB36*AC36)*-1+AB36</f>
        <v>103.82478468899522</v>
      </c>
      <c r="AB36" s="602">
        <v>96.1</v>
      </c>
      <c r="AC36" s="586">
        <f t="shared" si="0"/>
        <v>-8.0382775119617333E-2</v>
      </c>
      <c r="AD36" s="586">
        <f t="shared" si="1"/>
        <v>94.926539724349624</v>
      </c>
      <c r="AE36" s="603">
        <v>106.7193</v>
      </c>
      <c r="AF36" s="586">
        <f t="shared" ref="AF36:AF45" si="5">(+(AE36/AB36)-1)</f>
        <v>0.11050260145681601</v>
      </c>
    </row>
    <row r="37" spans="4:32" ht="13.8">
      <c r="D37" s="574"/>
      <c r="E37" s="575"/>
      <c r="P37" s="604">
        <v>103</v>
      </c>
      <c r="Q37" s="605" t="s">
        <v>337</v>
      </c>
      <c r="R37" s="601">
        <v>154.708984375</v>
      </c>
      <c r="S37" s="604">
        <v>104.5</v>
      </c>
      <c r="T37" s="607">
        <f t="shared" si="2"/>
        <v>1.4563106796116498E-2</v>
      </c>
      <c r="U37" s="604">
        <v>105.1</v>
      </c>
      <c r="V37" s="607">
        <f t="shared" si="3"/>
        <v>5.7416267942582699E-3</v>
      </c>
      <c r="W37" s="602">
        <v>104.91</v>
      </c>
      <c r="X37" s="607">
        <f t="shared" si="4"/>
        <v>-1.8078020932444927E-3</v>
      </c>
      <c r="Y37" s="602">
        <v>104</v>
      </c>
      <c r="Z37" s="606">
        <f>(+(Y37/W37)-1)</f>
        <v>-8.6741016109045388E-3</v>
      </c>
      <c r="AA37" s="586">
        <f>(+AB37*AC37)*-1+AB37</f>
        <v>103.69846153846154</v>
      </c>
      <c r="AB37" s="602">
        <v>98.4</v>
      </c>
      <c r="AC37" s="586">
        <f t="shared" si="0"/>
        <v>-5.3846153846153766E-2</v>
      </c>
      <c r="AD37" s="586">
        <f t="shared" si="1"/>
        <v>97.5308571706301</v>
      </c>
      <c r="AE37" s="603">
        <v>107.64790000000001</v>
      </c>
      <c r="AF37" s="586">
        <f t="shared" si="5"/>
        <v>9.3982723577235694E-2</v>
      </c>
    </row>
    <row r="38" spans="4:32" ht="13.8">
      <c r="D38" s="576" t="s">
        <v>320</v>
      </c>
      <c r="E38" s="577">
        <f>(-E35+E36)/E35</f>
        <v>7.6263107721639386E-3</v>
      </c>
      <c r="P38" s="604">
        <v>103.5</v>
      </c>
      <c r="Q38" s="605" t="s">
        <v>338</v>
      </c>
      <c r="R38" s="601">
        <v>154.76967930029156</v>
      </c>
      <c r="S38" s="604">
        <v>104.5</v>
      </c>
      <c r="T38" s="607">
        <f t="shared" si="2"/>
        <v>9.6618357487923134E-3</v>
      </c>
      <c r="U38" s="604">
        <v>105.3</v>
      </c>
      <c r="V38" s="607">
        <f t="shared" si="3"/>
        <v>7.6555023923443599E-3</v>
      </c>
      <c r="W38" s="602">
        <v>105.2</v>
      </c>
      <c r="X38" s="607">
        <f t="shared" si="4"/>
        <v>-9.4966761633419328E-4</v>
      </c>
      <c r="Y38" s="602">
        <v>102.7</v>
      </c>
      <c r="Z38" s="606">
        <f>(+(Y38/W38)-1)</f>
        <v>-2.3764258555133089E-2</v>
      </c>
      <c r="AA38" s="586">
        <f>(+AB38*AC38)*-1+AB38</f>
        <v>102.47565725413827</v>
      </c>
      <c r="AB38" s="602">
        <v>97.9</v>
      </c>
      <c r="AC38" s="586">
        <f t="shared" si="0"/>
        <v>-4.6738072054527735E-2</v>
      </c>
      <c r="AD38" s="586">
        <f t="shared" si="1"/>
        <v>96.801881590909105</v>
      </c>
      <c r="AE38" s="608">
        <v>108.26849999999999</v>
      </c>
      <c r="AF38" s="586">
        <f t="shared" si="5"/>
        <v>0.10590909090909073</v>
      </c>
    </row>
    <row r="39" spans="4:32" ht="13.8">
      <c r="P39" s="604">
        <v>103.7</v>
      </c>
      <c r="Q39" s="605" t="s">
        <v>339</v>
      </c>
      <c r="R39" s="601">
        <v>154.76449999999997</v>
      </c>
      <c r="S39" s="604">
        <v>104.5</v>
      </c>
      <c r="T39" s="607">
        <f t="shared" si="2"/>
        <v>7.7145612343296754E-3</v>
      </c>
      <c r="U39" s="604">
        <v>105.3</v>
      </c>
      <c r="V39" s="607">
        <f t="shared" si="3"/>
        <v>7.6555023923443599E-3</v>
      </c>
      <c r="W39" s="602">
        <v>105.3</v>
      </c>
      <c r="X39" s="607">
        <f t="shared" si="4"/>
        <v>0</v>
      </c>
      <c r="Y39" s="602">
        <f>ROUND(102.6954,2)</f>
        <v>102.7</v>
      </c>
      <c r="Z39" s="606">
        <f t="shared" ref="Z39:Z46" si="6">(+(Y39/W39)-1)</f>
        <v>-2.4691358024691357E-2</v>
      </c>
      <c r="AA39" s="586">
        <f>(+AB39*AC39)*-1+AB39</f>
        <v>102.66105160662123</v>
      </c>
      <c r="AB39" s="602">
        <v>104.7</v>
      </c>
      <c r="AC39" s="586">
        <f t="shared" si="0"/>
        <v>1.9474196689386547E-2</v>
      </c>
      <c r="AD39" s="586">
        <f t="shared" si="1"/>
        <v>104.51509073543457</v>
      </c>
      <c r="AE39" s="608">
        <v>109.1</v>
      </c>
      <c r="AF39" s="586">
        <f t="shared" si="5"/>
        <v>4.2024832855778405E-2</v>
      </c>
    </row>
    <row r="40" spans="4:32" ht="13.8">
      <c r="P40" s="604">
        <v>103.6</v>
      </c>
      <c r="Q40" s="605" t="s">
        <v>340</v>
      </c>
      <c r="R40" s="601">
        <v>154.48492753623188</v>
      </c>
      <c r="S40" s="604">
        <v>104.3</v>
      </c>
      <c r="T40" s="607">
        <f t="shared" si="2"/>
        <v>6.7567567567567988E-3</v>
      </c>
      <c r="U40" s="604">
        <v>105.5</v>
      </c>
      <c r="V40" s="607">
        <f t="shared" si="3"/>
        <v>1.1505273250239645E-2</v>
      </c>
      <c r="W40" s="602">
        <v>105.5</v>
      </c>
      <c r="X40" s="607">
        <f t="shared" si="4"/>
        <v>0</v>
      </c>
      <c r="Y40" s="602">
        <f>ROUND(103.2292,2)</f>
        <v>103.23</v>
      </c>
      <c r="Z40" s="606">
        <f t="shared" si="6"/>
        <v>-2.151658767772513E-2</v>
      </c>
      <c r="AA40" s="586">
        <f t="shared" ref="AA40:AA46" si="7">(+AB40*AC40)*-1+AB40</f>
        <v>103.20298362879009</v>
      </c>
      <c r="AB40" s="602">
        <v>104.9</v>
      </c>
      <c r="AC40" s="586">
        <f t="shared" si="0"/>
        <v>1.6177467790370992E-2</v>
      </c>
      <c r="AD40" s="586">
        <f t="shared" si="1"/>
        <v>104.62202097235463</v>
      </c>
      <c r="AE40" s="608">
        <v>110.3</v>
      </c>
      <c r="AF40" s="586">
        <f t="shared" si="5"/>
        <v>5.1477597712106693E-2</v>
      </c>
    </row>
    <row r="41" spans="4:32" ht="13.8">
      <c r="P41" s="604">
        <v>103.7</v>
      </c>
      <c r="Q41" s="605" t="s">
        <v>341</v>
      </c>
      <c r="R41" s="601">
        <v>154.22222222222226</v>
      </c>
      <c r="S41" s="604">
        <v>104.1</v>
      </c>
      <c r="T41" s="607">
        <f t="shared" si="2"/>
        <v>3.8572806171648377E-3</v>
      </c>
      <c r="U41" s="604">
        <v>105.5</v>
      </c>
      <c r="V41" s="607">
        <f t="shared" si="3"/>
        <v>1.344860710854956E-2</v>
      </c>
      <c r="W41" s="602">
        <v>105.5</v>
      </c>
      <c r="X41" s="607">
        <f t="shared" si="4"/>
        <v>0</v>
      </c>
      <c r="Y41" s="602">
        <v>102.81</v>
      </c>
      <c r="Z41" s="606">
        <f t="shared" si="6"/>
        <v>-2.5497630331753562E-2</v>
      </c>
      <c r="AA41" s="586">
        <f t="shared" si="7"/>
        <v>102.74969360957105</v>
      </c>
      <c r="AB41" s="602">
        <v>105.3</v>
      </c>
      <c r="AC41" s="586">
        <f t="shared" si="0"/>
        <v>2.4219433907207488E-2</v>
      </c>
      <c r="AD41" s="586"/>
      <c r="AE41" s="608"/>
      <c r="AF41" s="586">
        <f t="shared" si="5"/>
        <v>-1</v>
      </c>
    </row>
    <row r="42" spans="4:32" ht="13.8">
      <c r="P42" s="604">
        <v>103.7</v>
      </c>
      <c r="Q42" s="605" t="s">
        <v>342</v>
      </c>
      <c r="R42" s="601">
        <v>154.6164</v>
      </c>
      <c r="S42" s="604">
        <v>104.4</v>
      </c>
      <c r="T42" s="607">
        <f t="shared" si="2"/>
        <v>6.7502410800386325E-3</v>
      </c>
      <c r="U42" s="604">
        <v>105.53</v>
      </c>
      <c r="V42" s="607">
        <f t="shared" si="3"/>
        <v>1.0823754789272E-2</v>
      </c>
      <c r="W42" s="602">
        <f>ROUND(104.8884,2)</f>
        <v>104.89</v>
      </c>
      <c r="X42" s="607">
        <f t="shared" si="4"/>
        <v>-6.0646261726523543E-3</v>
      </c>
      <c r="Y42" s="602">
        <v>104.89</v>
      </c>
      <c r="Z42" s="606">
        <f t="shared" si="6"/>
        <v>0</v>
      </c>
      <c r="AA42" s="586">
        <f t="shared" si="7"/>
        <v>104.88839736867193</v>
      </c>
      <c r="AB42" s="602">
        <v>105.3</v>
      </c>
      <c r="AC42" s="586">
        <f t="shared" si="0"/>
        <v>3.908856897702373E-3</v>
      </c>
      <c r="AD42" s="586"/>
      <c r="AE42" s="602"/>
      <c r="AF42" s="586">
        <f t="shared" si="5"/>
        <v>-1</v>
      </c>
    </row>
    <row r="43" spans="4:32" ht="13.8">
      <c r="P43" s="604">
        <v>103.9</v>
      </c>
      <c r="Q43" s="605" t="s">
        <v>343</v>
      </c>
      <c r="R43" s="601">
        <v>155.06070000000037</v>
      </c>
      <c r="S43" s="604">
        <v>104.7</v>
      </c>
      <c r="T43" s="607">
        <f t="shared" si="2"/>
        <v>7.6997112608276908E-3</v>
      </c>
      <c r="U43" s="604">
        <v>105.49</v>
      </c>
      <c r="V43" s="607">
        <f t="shared" si="3"/>
        <v>7.5453677172874212E-3</v>
      </c>
      <c r="W43" s="602">
        <f>ROUND(104.8386,2)</f>
        <v>104.84</v>
      </c>
      <c r="X43" s="607">
        <f t="shared" si="4"/>
        <v>-6.1617214901885653E-3</v>
      </c>
      <c r="Y43" s="602">
        <v>104.84</v>
      </c>
      <c r="Z43" s="606">
        <f t="shared" si="6"/>
        <v>0</v>
      </c>
      <c r="AA43" s="586">
        <f t="shared" si="7"/>
        <v>104.83700877527662</v>
      </c>
      <c r="AB43" s="602">
        <v>105.4</v>
      </c>
      <c r="AC43" s="586">
        <f t="shared" si="0"/>
        <v>5.3414727203358048E-3</v>
      </c>
      <c r="AD43" s="586"/>
      <c r="AE43" s="602"/>
      <c r="AF43" s="586">
        <f t="shared" si="5"/>
        <v>-1</v>
      </c>
    </row>
    <row r="44" spans="4:32" ht="13.8">
      <c r="P44" s="604">
        <v>104</v>
      </c>
      <c r="Q44" s="605" t="s">
        <v>344</v>
      </c>
      <c r="R44" s="601">
        <v>154.72087378640779</v>
      </c>
      <c r="S44" s="604">
        <v>104.5</v>
      </c>
      <c r="T44" s="607">
        <f t="shared" si="2"/>
        <v>4.8076923076922906E-3</v>
      </c>
      <c r="U44" s="604">
        <v>105.57</v>
      </c>
      <c r="V44" s="607">
        <f t="shared" si="3"/>
        <v>1.0239234449760604E-2</v>
      </c>
      <c r="W44" s="602">
        <f>ROUND(104.8386,2)</f>
        <v>104.84</v>
      </c>
      <c r="X44" s="607">
        <f t="shared" si="4"/>
        <v>-6.9148432319786624E-3</v>
      </c>
      <c r="Y44" s="602">
        <v>104.84</v>
      </c>
      <c r="Z44" s="606">
        <f t="shared" si="6"/>
        <v>0</v>
      </c>
      <c r="AA44" s="586">
        <f t="shared" si="7"/>
        <v>104.83120946203739</v>
      </c>
      <c r="AB44" s="602">
        <v>105.8</v>
      </c>
      <c r="AC44" s="586">
        <f t="shared" si="0"/>
        <v>9.1568103777184273E-3</v>
      </c>
      <c r="AD44" s="586"/>
      <c r="AE44" s="602"/>
      <c r="AF44" s="586">
        <f t="shared" si="5"/>
        <v>-1</v>
      </c>
    </row>
    <row r="45" spans="4:32" ht="13.8">
      <c r="P45" s="604">
        <v>103.9</v>
      </c>
      <c r="Q45" s="605" t="s">
        <v>345</v>
      </c>
      <c r="R45" s="601">
        <v>154.49284104526942</v>
      </c>
      <c r="S45" s="604">
        <v>104.3</v>
      </c>
      <c r="T45" s="607">
        <f t="shared" si="2"/>
        <v>3.8498556304138454E-3</v>
      </c>
      <c r="U45" s="604">
        <v>105.11</v>
      </c>
      <c r="V45" s="607">
        <f t="shared" si="3"/>
        <v>7.7660594439117325E-3</v>
      </c>
      <c r="W45" s="602">
        <f>ROUND(104.7681,2)</f>
        <v>104.77</v>
      </c>
      <c r="X45" s="607">
        <f t="shared" si="4"/>
        <v>-3.2347064979545426E-3</v>
      </c>
      <c r="Y45" s="602">
        <v>102.6</v>
      </c>
      <c r="Z45" s="606">
        <f t="shared" si="6"/>
        <v>-2.0712035888135971E-2</v>
      </c>
      <c r="AA45" s="586">
        <f t="shared" si="7"/>
        <v>102.48060428849901</v>
      </c>
      <c r="AB45" s="602">
        <v>106.1</v>
      </c>
      <c r="AC45" s="586">
        <f t="shared" si="0"/>
        <v>3.4113060428849984E-2</v>
      </c>
      <c r="AD45" s="586"/>
      <c r="AE45" s="602"/>
      <c r="AF45" s="586">
        <f t="shared" si="5"/>
        <v>-1</v>
      </c>
    </row>
    <row r="46" spans="4:32" ht="13.8">
      <c r="P46" s="604">
        <v>104</v>
      </c>
      <c r="Q46" s="605" t="s">
        <v>346</v>
      </c>
      <c r="R46" s="601">
        <v>154.72087378640771</v>
      </c>
      <c r="S46" s="604">
        <v>104.5</v>
      </c>
      <c r="T46" s="607">
        <f t="shared" si="2"/>
        <v>4.8076923076922906E-3</v>
      </c>
      <c r="U46" s="604">
        <v>104.67</v>
      </c>
      <c r="V46" s="607">
        <f t="shared" si="3"/>
        <v>1.6267942583731987E-3</v>
      </c>
      <c r="W46" s="602">
        <f>ROUND(104.5986,2)</f>
        <v>104.6</v>
      </c>
      <c r="X46" s="607">
        <f t="shared" si="4"/>
        <v>-6.6876851055708286E-4</v>
      </c>
      <c r="Y46" s="602">
        <v>103</v>
      </c>
      <c r="Z46" s="606">
        <f t="shared" si="6"/>
        <v>-1.5296367112810683E-2</v>
      </c>
      <c r="AA46" s="586">
        <f t="shared" si="7"/>
        <v>105.65299999999999</v>
      </c>
      <c r="AB46" s="602">
        <v>105.65299999999999</v>
      </c>
      <c r="AC46" s="586"/>
      <c r="AD46" s="586"/>
      <c r="AE46" s="602"/>
      <c r="AF46" s="586"/>
    </row>
    <row r="47" spans="4:32">
      <c r="P47" s="609">
        <v>103.52500000000002</v>
      </c>
      <c r="Q47" s="610"/>
      <c r="R47" s="609">
        <f>AVERAGE(R35:R46)</f>
        <v>154.66190850431926</v>
      </c>
      <c r="S47" s="609">
        <f>AVERAGE(S35:S46)</f>
        <v>104.43333333333334</v>
      </c>
      <c r="T47" s="611">
        <f>+(S47/P47)-1</f>
        <v>8.7740481365208289E-3</v>
      </c>
      <c r="U47" s="609">
        <f>AVERAGE(U35:U46)</f>
        <v>105.23083333333334</v>
      </c>
      <c r="V47" s="611">
        <f>+(U47/R47)-1</f>
        <v>-0.31960730117076919</v>
      </c>
      <c r="W47" s="609">
        <f>AVERAGE(W35:W46)</f>
        <v>104.93333333333332</v>
      </c>
      <c r="X47" s="611">
        <f>+(W47/U47)-1</f>
        <v>-2.8271181608686691E-3</v>
      </c>
      <c r="Y47" s="609">
        <f>AVERAGE(Y35:Y46)</f>
        <v>103.73852499999998</v>
      </c>
      <c r="Z47" s="611">
        <f>+(Y47/W47)-1</f>
        <v>-1.1386356416772658E-2</v>
      </c>
      <c r="AA47" s="612"/>
      <c r="AB47" s="609">
        <f>AVERAGE(AB35:AB46)</f>
        <v>102.67108333333333</v>
      </c>
      <c r="AC47" s="612">
        <f>+(AB47/Y47)-1</f>
        <v>-1.0289732446713051E-2</v>
      </c>
      <c r="AD47" s="612"/>
      <c r="AE47" s="609">
        <f>AVERAGE(AE35:AE46)</f>
        <v>108.00371666666666</v>
      </c>
      <c r="AF47" s="612">
        <f>+(AE47/AB47)-1</f>
        <v>5.1938999377461936E-2</v>
      </c>
    </row>
  </sheetData>
  <mergeCells count="22">
    <mergeCell ref="AD33:AF33"/>
    <mergeCell ref="Q33:S33"/>
    <mergeCell ref="U33:V33"/>
    <mergeCell ref="W33:X33"/>
    <mergeCell ref="Y33:Z33"/>
    <mergeCell ref="AA33:AB33"/>
    <mergeCell ref="H17:H18"/>
    <mergeCell ref="M18:M19"/>
    <mergeCell ref="B2:L2"/>
    <mergeCell ref="B4:L4"/>
    <mergeCell ref="B5:L5"/>
    <mergeCell ref="B6:L6"/>
    <mergeCell ref="E14:E15"/>
    <mergeCell ref="G14:G15"/>
    <mergeCell ref="H14:H15"/>
    <mergeCell ref="I14:I15"/>
    <mergeCell ref="J14:J15"/>
    <mergeCell ref="D34:E34"/>
    <mergeCell ref="D17:D18"/>
    <mergeCell ref="E17:E18"/>
    <mergeCell ref="F17:F18"/>
    <mergeCell ref="G17:G18"/>
  </mergeCells>
  <printOptions horizontalCentered="1" verticalCentered="1"/>
  <pageMargins left="0.74803149606299213" right="0.74803149606299213" top="0.86614173228346458" bottom="1.0236220472440944" header="0" footer="0.6692913385826772"/>
  <pageSetup scale="77" orientation="landscape" cellComments="asDisplayed" horizontalDpi="4294967293" verticalDpi="300" r:id="rId1"/>
  <headerFooter alignWithMargins="0">
    <oddFooter>&amp;L&amp;8CAES-IPC Año 4    8/marzo/ 2012</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50"/>
  <sheetViews>
    <sheetView zoomScale="67" zoomScaleNormal="67" workbookViewId="0">
      <selection activeCell="Q28" sqref="Q28"/>
    </sheetView>
  </sheetViews>
  <sheetFormatPr baseColWidth="10" defaultColWidth="9.109375" defaultRowHeight="13.2"/>
  <cols>
    <col min="1" max="1" width="3.6640625" customWidth="1"/>
    <col min="2" max="2" width="50.88671875" customWidth="1"/>
    <col min="3" max="3" width="16.88671875" customWidth="1"/>
    <col min="4" max="4" width="17" customWidth="1"/>
    <col min="5" max="5" width="14.109375" customWidth="1"/>
    <col min="6" max="6" width="14.44140625" customWidth="1"/>
    <col min="7" max="7" width="14.109375" customWidth="1"/>
    <col min="8" max="8" width="13.6640625" customWidth="1"/>
    <col min="9" max="9" width="13.44140625" customWidth="1"/>
    <col min="10" max="10" width="9.88671875" customWidth="1"/>
    <col min="11" max="11" width="9.5546875" customWidth="1"/>
    <col min="12" max="12" width="10.6640625" customWidth="1"/>
    <col min="13" max="13" width="13.88671875" customWidth="1"/>
    <col min="14" max="14" width="20" customWidth="1"/>
    <col min="15" max="15" width="18.5546875" customWidth="1"/>
  </cols>
  <sheetData>
    <row r="1" spans="2:13">
      <c r="I1" s="3"/>
    </row>
    <row r="3" spans="2:13">
      <c r="B3" s="1228" t="s">
        <v>39</v>
      </c>
      <c r="C3" s="1228"/>
      <c r="D3" s="1228"/>
      <c r="E3" s="1228"/>
      <c r="F3" s="1228"/>
      <c r="G3" s="1228"/>
      <c r="H3" s="1228"/>
      <c r="I3" s="1228"/>
    </row>
    <row r="4" spans="2:13">
      <c r="B4" s="1228" t="s">
        <v>40</v>
      </c>
      <c r="C4" s="1228"/>
      <c r="D4" s="1228"/>
      <c r="E4" s="1228"/>
      <c r="F4" s="1228"/>
      <c r="G4" s="1228"/>
      <c r="H4" s="1228"/>
      <c r="I4" s="1228"/>
    </row>
    <row r="5" spans="2:13">
      <c r="B5" s="1228" t="s">
        <v>98</v>
      </c>
      <c r="C5" s="1228"/>
      <c r="D5" s="1228"/>
      <c r="E5" s="1228"/>
      <c r="F5" s="1228"/>
      <c r="G5" s="1228"/>
      <c r="H5" s="1228"/>
      <c r="I5" s="1228"/>
    </row>
    <row r="6" spans="2:13" ht="13.8" thickBot="1">
      <c r="B6" s="9"/>
      <c r="C6" s="10"/>
      <c r="D6" s="10"/>
      <c r="E6" s="10"/>
      <c r="F6" s="10"/>
      <c r="G6" s="10"/>
      <c r="H6" s="10"/>
      <c r="I6" s="10"/>
    </row>
    <row r="7" spans="2:13">
      <c r="B7" s="11" t="s">
        <v>41</v>
      </c>
      <c r="C7" s="12" t="s">
        <v>42</v>
      </c>
      <c r="D7" s="12">
        <v>2012</v>
      </c>
      <c r="E7" s="12">
        <v>2013</v>
      </c>
      <c r="F7" s="12">
        <f>+E7+1</f>
        <v>2014</v>
      </c>
      <c r="G7" s="12">
        <f>+F7+1</f>
        <v>2015</v>
      </c>
      <c r="H7" s="12">
        <f>+G7+1</f>
        <v>2016</v>
      </c>
      <c r="I7" s="13">
        <f>+H7+1</f>
        <v>2017</v>
      </c>
    </row>
    <row r="8" spans="2:13" ht="15">
      <c r="B8" s="113" t="s">
        <v>43</v>
      </c>
      <c r="C8" s="114" t="s">
        <v>44</v>
      </c>
      <c r="D8" s="115"/>
      <c r="E8" s="115">
        <v>1.8700000000000001E-2</v>
      </c>
      <c r="F8" s="115">
        <v>1.8700000000000001E-2</v>
      </c>
      <c r="G8" s="115">
        <v>1.8700000000000001E-2</v>
      </c>
      <c r="H8" s="115">
        <v>1.8700000000000001E-2</v>
      </c>
      <c r="I8" s="116">
        <v>1.8700000000000001E-2</v>
      </c>
      <c r="J8" s="117"/>
      <c r="M8" s="14"/>
    </row>
    <row r="9" spans="2:13">
      <c r="B9" s="118" t="s">
        <v>45</v>
      </c>
      <c r="C9" s="119" t="s">
        <v>44</v>
      </c>
      <c r="D9" s="120"/>
      <c r="E9" s="120">
        <v>1.32E-2</v>
      </c>
      <c r="F9" s="120">
        <v>1.32E-2</v>
      </c>
      <c r="G9" s="120">
        <v>1.32E-2</v>
      </c>
      <c r="H9" s="120">
        <v>1.32E-2</v>
      </c>
      <c r="I9" s="121">
        <v>1.32E-2</v>
      </c>
      <c r="J9" s="117"/>
    </row>
    <row r="10" spans="2:13">
      <c r="B10" s="118" t="s">
        <v>241</v>
      </c>
      <c r="C10" s="119" t="s">
        <v>44</v>
      </c>
      <c r="D10" s="120">
        <v>3.3385882564188139E-2</v>
      </c>
      <c r="E10" s="120"/>
      <c r="F10" s="120"/>
      <c r="G10" s="120"/>
      <c r="H10" s="120"/>
      <c r="I10" s="121"/>
      <c r="J10" s="117"/>
    </row>
    <row r="11" spans="2:13">
      <c r="B11" s="122" t="s">
        <v>46</v>
      </c>
      <c r="C11" s="123" t="s">
        <v>44</v>
      </c>
      <c r="D11" s="124">
        <v>6.83E-2</v>
      </c>
      <c r="E11" s="125"/>
      <c r="F11" s="125"/>
      <c r="G11" s="125"/>
      <c r="H11" s="125"/>
      <c r="I11" s="126"/>
      <c r="J11" s="420"/>
    </row>
    <row r="12" spans="2:13" ht="13.5" customHeight="1">
      <c r="B12" s="15" t="s">
        <v>47</v>
      </c>
      <c r="C12" s="114"/>
      <c r="D12" s="127"/>
      <c r="E12" s="128"/>
      <c r="F12" s="129"/>
      <c r="G12" s="128"/>
      <c r="H12" s="130"/>
      <c r="I12" s="131"/>
    </row>
    <row r="13" spans="2:13">
      <c r="B13" s="118" t="s">
        <v>242</v>
      </c>
      <c r="C13" s="119" t="s">
        <v>49</v>
      </c>
      <c r="D13" s="421" t="e">
        <f>#REF!</f>
        <v>#REF!</v>
      </c>
      <c r="E13" s="422" t="e">
        <f>#REF!</f>
        <v>#REF!</v>
      </c>
      <c r="F13" s="421" t="e">
        <f>#REF!</f>
        <v>#REF!</v>
      </c>
      <c r="G13" s="422" t="e">
        <f>#REF!</f>
        <v>#REF!</v>
      </c>
      <c r="H13" s="421" t="e">
        <f>#REF!</f>
        <v>#REF!</v>
      </c>
      <c r="I13" s="422" t="e">
        <f>#REF!</f>
        <v>#REF!</v>
      </c>
    </row>
    <row r="14" spans="2:13">
      <c r="B14" s="118" t="s">
        <v>243</v>
      </c>
      <c r="C14" s="119"/>
      <c r="D14" s="421" t="e">
        <f>#REF!</f>
        <v>#REF!</v>
      </c>
      <c r="E14" s="422" t="e">
        <f>#REF!</f>
        <v>#REF!</v>
      </c>
      <c r="F14" s="421" t="e">
        <f>#REF!</f>
        <v>#REF!</v>
      </c>
      <c r="G14" s="422" t="e">
        <f>#REF!</f>
        <v>#REF!</v>
      </c>
      <c r="H14" s="421" t="e">
        <f>#REF!</f>
        <v>#REF!</v>
      </c>
      <c r="I14" s="422" t="e">
        <f>#REF!</f>
        <v>#REF!</v>
      </c>
    </row>
    <row r="15" spans="2:13">
      <c r="B15" s="118" t="s">
        <v>244</v>
      </c>
      <c r="C15" s="119" t="s">
        <v>49</v>
      </c>
      <c r="D15" s="421" t="e">
        <f>#REF!</f>
        <v>#REF!</v>
      </c>
      <c r="E15" s="422" t="e">
        <f>#REF!</f>
        <v>#REF!</v>
      </c>
      <c r="F15" s="421" t="e">
        <f>#REF!</f>
        <v>#REF!</v>
      </c>
      <c r="G15" s="422" t="e">
        <f>#REF!</f>
        <v>#REF!</v>
      </c>
      <c r="H15" s="421" t="e">
        <f>#REF!</f>
        <v>#REF!</v>
      </c>
      <c r="I15" s="422" t="e">
        <f>#REF!</f>
        <v>#REF!</v>
      </c>
    </row>
    <row r="16" spans="2:13">
      <c r="B16" s="659" t="s">
        <v>245</v>
      </c>
      <c r="C16" s="119" t="s">
        <v>49</v>
      </c>
      <c r="D16" s="421">
        <f>+[23]ACTIVOS!C143</f>
        <v>2000.9</v>
      </c>
      <c r="E16" s="422">
        <f>+[23]ACTIVOS!D143</f>
        <v>2000.9</v>
      </c>
      <c r="F16" s="421">
        <f>+[23]ACTIVOS!E143</f>
        <v>2000.9</v>
      </c>
      <c r="G16" s="422">
        <f>+[23]ACTIVOS!F143</f>
        <v>2000.9</v>
      </c>
      <c r="H16" s="422">
        <f>+[23]ACTIVOS!G143</f>
        <v>0</v>
      </c>
      <c r="I16" s="423">
        <f>+[23]ACTIVOS!H143</f>
        <v>0</v>
      </c>
    </row>
    <row r="17" spans="2:11">
      <c r="B17" s="118" t="s">
        <v>99</v>
      </c>
      <c r="C17" s="119" t="s">
        <v>49</v>
      </c>
      <c r="D17" s="421">
        <f>+[23]ACTIVOS!C32+[23]ACTIVOS!C215</f>
        <v>208150.0790332263</v>
      </c>
      <c r="E17" s="422">
        <f>+[23]ACTIVOS!D32+[23]ACTIVOS!D215</f>
        <v>203819.44569557876</v>
      </c>
      <c r="F17" s="421">
        <f>+[23]ACTIVOS!E32+[23]ACTIVOS!E215</f>
        <v>248218.4057650266</v>
      </c>
      <c r="G17" s="422">
        <f>+[23]ACTIVOS!F32+[23]ACTIVOS!F215</f>
        <v>306921.36147428351</v>
      </c>
      <c r="H17" s="422">
        <f>+[23]ACTIVOS!G32+[23]ACTIVOS!G215</f>
        <v>334081.42080502253</v>
      </c>
      <c r="I17" s="423">
        <f>+[23]ACTIVOS!H32+[23]ACTIVOS!H215</f>
        <v>452696.65436268866</v>
      </c>
    </row>
    <row r="18" spans="2:11">
      <c r="B18" s="118" t="s">
        <v>246</v>
      </c>
      <c r="C18" s="119"/>
      <c r="D18" s="421">
        <f>+[23]ACTIVOS!C59</f>
        <v>0</v>
      </c>
      <c r="E18" s="422">
        <f>+[23]ACTIVOS!D59</f>
        <v>0</v>
      </c>
      <c r="F18" s="421">
        <f>+[23]ACTIVOS!E59</f>
        <v>0</v>
      </c>
      <c r="G18" s="422">
        <f>+[23]ACTIVOS!F59</f>
        <v>0</v>
      </c>
      <c r="H18" s="422">
        <f>+[23]ACTIVOS!G59</f>
        <v>0</v>
      </c>
      <c r="I18" s="423">
        <f>+[23]ACTIVOS!H59</f>
        <v>285457.82998149999</v>
      </c>
    </row>
    <row r="19" spans="2:11">
      <c r="B19" s="118" t="s">
        <v>53</v>
      </c>
      <c r="C19" s="119" t="s">
        <v>49</v>
      </c>
      <c r="D19" s="421">
        <f>+[23]ACTIVOS!C115</f>
        <v>8607.5463466670826</v>
      </c>
      <c r="E19" s="422">
        <f>+[23]ACTIVOS!D115</f>
        <v>16294.476097688785</v>
      </c>
      <c r="F19" s="421">
        <f>+[23]ACTIVOS!E115</f>
        <v>23073.875848710486</v>
      </c>
      <c r="G19" s="422">
        <f>+[23]ACTIVOS!F115</f>
        <v>21822.365599732191</v>
      </c>
      <c r="H19" s="422">
        <f>+[23]ACTIVOS!G115</f>
        <v>20570.855350753889</v>
      </c>
      <c r="I19" s="423">
        <f>+[23]ACTIVOS!H115</f>
        <v>19319.345101775594</v>
      </c>
    </row>
    <row r="20" spans="2:11">
      <c r="B20" s="122" t="s">
        <v>100</v>
      </c>
      <c r="C20" s="123" t="s">
        <v>49</v>
      </c>
      <c r="D20" s="424">
        <f>+[23]ACTIVOS!C144</f>
        <v>269.1894999999995</v>
      </c>
      <c r="E20" s="425">
        <f>+[23]ACTIVOS!D144</f>
        <v>199.15799999999945</v>
      </c>
      <c r="F20" s="424">
        <f>+[23]ACTIVOS!E144</f>
        <v>129.1264999999994</v>
      </c>
      <c r="G20" s="425">
        <f>+[23]ACTIVOS!F144</f>
        <v>59.094999999999345</v>
      </c>
      <c r="H20" s="425">
        <f>+[23]ACTIVOS!G144</f>
        <v>0</v>
      </c>
      <c r="I20" s="426">
        <f>+[23]ACTIVOS!H144</f>
        <v>0</v>
      </c>
    </row>
    <row r="21" spans="2:11">
      <c r="B21" s="132" t="s">
        <v>101</v>
      </c>
      <c r="C21" s="119"/>
      <c r="D21" s="127"/>
      <c r="E21" s="133"/>
      <c r="F21" s="129"/>
      <c r="G21" s="133"/>
      <c r="H21" s="133"/>
      <c r="I21" s="134"/>
      <c r="J21" s="417"/>
    </row>
    <row r="22" spans="2:11">
      <c r="B22" s="118" t="s">
        <v>56</v>
      </c>
      <c r="C22" s="119" t="s">
        <v>49</v>
      </c>
      <c r="D22" s="421">
        <f>+[23]ACTIVOS!C152</f>
        <v>672845.40272774338</v>
      </c>
      <c r="E22" s="422">
        <f>+[23]ACTIVOS!D152</f>
        <v>679766.35099774343</v>
      </c>
      <c r="F22" s="421">
        <f>+[23]ACTIVOS!E152</f>
        <v>735624.52112293872</v>
      </c>
      <c r="G22" s="422">
        <f>+[23]ACTIVOS!F152</f>
        <v>834392.43199169892</v>
      </c>
      <c r="H22" s="422">
        <f>+[23]ACTIVOS!G152</f>
        <v>876842.58380800416</v>
      </c>
      <c r="I22" s="423">
        <f>+[23]ACTIVOS!H152</f>
        <v>1012021.4144057257</v>
      </c>
      <c r="J22" s="16"/>
    </row>
    <row r="23" spans="2:11">
      <c r="B23" s="118" t="s">
        <v>247</v>
      </c>
      <c r="C23" s="119" t="s">
        <v>49</v>
      </c>
      <c r="D23" s="421"/>
      <c r="E23" s="422"/>
      <c r="F23" s="421"/>
      <c r="G23" s="422"/>
      <c r="H23" s="422">
        <f>+[23]ACTIVOS!G153</f>
        <v>0</v>
      </c>
      <c r="I23" s="423">
        <f>+[23]ACTIVOS!H153</f>
        <v>285457.82998149999</v>
      </c>
      <c r="J23" s="16"/>
    </row>
    <row r="24" spans="2:11">
      <c r="B24" s="118" t="s">
        <v>57</v>
      </c>
      <c r="C24" s="119" t="s">
        <v>49</v>
      </c>
      <c r="D24" s="421">
        <f>+[23]ACTIVOS!C154</f>
        <v>55584.10027607534</v>
      </c>
      <c r="E24" s="422">
        <f>+[23]ACTIVOS!D154</f>
        <v>64035.10027607534</v>
      </c>
      <c r="F24" s="421">
        <f>+[23]ACTIVOS!E154</f>
        <v>71832.100276075333</v>
      </c>
      <c r="G24" s="422">
        <f>+[23]ACTIVOS!F154</f>
        <v>71832.100276075333</v>
      </c>
      <c r="H24" s="422">
        <f>+[23]ACTIVOS!G154</f>
        <v>71832.100276075333</v>
      </c>
      <c r="I24" s="423">
        <f>+[23]ACTIVOS!H154</f>
        <v>71832.100276075333</v>
      </c>
      <c r="J24" s="16"/>
    </row>
    <row r="25" spans="2:11">
      <c r="B25" s="132" t="s">
        <v>58</v>
      </c>
      <c r="C25" s="119"/>
      <c r="D25" s="421"/>
      <c r="E25" s="422"/>
      <c r="F25" s="421"/>
      <c r="G25" s="422"/>
      <c r="H25" s="422"/>
      <c r="I25" s="423"/>
      <c r="J25" s="16"/>
    </row>
    <row r="26" spans="2:11">
      <c r="B26" s="118" t="s">
        <v>248</v>
      </c>
      <c r="C26" s="119" t="s">
        <v>49</v>
      </c>
      <c r="D26" s="421"/>
      <c r="E26" s="422">
        <f>+[23]ACTIVOS!D160</f>
        <v>552.98275666666655</v>
      </c>
      <c r="F26" s="422">
        <f>+[23]ACTIVOS!E160</f>
        <v>6580.4562743352672</v>
      </c>
      <c r="G26" s="422">
        <f>+[23]ACTIVOS!F160</f>
        <v>12132.045890916219</v>
      </c>
      <c r="H26" s="422">
        <f>+[23]ACTIVOS!G160</f>
        <v>52.364652898412075</v>
      </c>
      <c r="I26" s="423">
        <f>+[23]ACTIVOS!H160</f>
        <v>47677.735883143461</v>
      </c>
      <c r="J26" s="16"/>
      <c r="K26" s="16"/>
    </row>
    <row r="27" spans="2:11">
      <c r="B27" s="118" t="s">
        <v>249</v>
      </c>
      <c r="C27" s="119" t="s">
        <v>49</v>
      </c>
      <c r="D27" s="421"/>
      <c r="E27" s="422">
        <f>+[23]ACTIVOS!D165</f>
        <v>1267.9741350000002</v>
      </c>
      <c r="F27" s="422">
        <f>+[23]ACTIVOS!E165</f>
        <v>23805.79554877595</v>
      </c>
      <c r="G27" s="422">
        <f>+[23]ACTIVOS!F165</f>
        <v>25026.555360311118</v>
      </c>
      <c r="H27" s="422">
        <f>+[23]ACTIVOS!G165</f>
        <v>17387.492574819265</v>
      </c>
      <c r="I27" s="423">
        <f>+[23]ACTIVOS!H165</f>
        <v>63438.998632194074</v>
      </c>
      <c r="J27" s="16"/>
      <c r="K27" s="16"/>
    </row>
    <row r="28" spans="2:11">
      <c r="B28" s="118" t="s">
        <v>250</v>
      </c>
      <c r="C28" s="119" t="s">
        <v>49</v>
      </c>
      <c r="D28" s="421"/>
      <c r="E28" s="422">
        <f>+[23]ACTIVOS!D161</f>
        <v>0</v>
      </c>
      <c r="F28" s="422">
        <f>+[23]ACTIVOS!E161</f>
        <v>0</v>
      </c>
      <c r="G28" s="422">
        <f>+[23]ACTIVOS!F161</f>
        <v>0</v>
      </c>
      <c r="H28" s="422">
        <f>+[23]ACTIVOS!G161</f>
        <v>0</v>
      </c>
      <c r="I28" s="423">
        <f>+[23]ACTIVOS!H161</f>
        <v>142728.91499075</v>
      </c>
      <c r="J28" s="16"/>
    </row>
    <row r="29" spans="2:11">
      <c r="B29" s="118" t="s">
        <v>251</v>
      </c>
      <c r="C29" s="119" t="s">
        <v>49</v>
      </c>
      <c r="D29" s="421"/>
      <c r="E29" s="422">
        <f>+[23]ACTIVOS!D166</f>
        <v>0</v>
      </c>
      <c r="F29" s="422">
        <f>+[23]ACTIVOS!E166</f>
        <v>0</v>
      </c>
      <c r="G29" s="422">
        <f>+[23]ACTIVOS!F166</f>
        <v>0</v>
      </c>
      <c r="H29" s="422">
        <f>+[23]ACTIVOS!G166</f>
        <v>0</v>
      </c>
      <c r="I29" s="423">
        <f>+[23]ACTIVOS!H166</f>
        <v>142728.91499075</v>
      </c>
      <c r="J29" s="16"/>
    </row>
    <row r="30" spans="2:11">
      <c r="B30" s="118" t="s">
        <v>57</v>
      </c>
      <c r="C30" s="119" t="s">
        <v>49</v>
      </c>
      <c r="D30" s="421"/>
      <c r="E30" s="422">
        <f>+[23]ACTIVOS!D162</f>
        <v>0</v>
      </c>
      <c r="F30" s="421">
        <f>+[23]ACTIVOS!E162</f>
        <v>0</v>
      </c>
      <c r="G30" s="422">
        <f>+[23]ACTIVOS!F162</f>
        <v>0</v>
      </c>
      <c r="H30" s="422">
        <f>+[23]ACTIVOS!G162</f>
        <v>0</v>
      </c>
      <c r="I30" s="423">
        <f>+[23]ACTIVOS!H162</f>
        <v>0</v>
      </c>
      <c r="J30" s="16"/>
    </row>
    <row r="31" spans="2:11" ht="13.8" thickBot="1">
      <c r="B31" s="135" t="s">
        <v>57</v>
      </c>
      <c r="C31" s="136" t="s">
        <v>49</v>
      </c>
      <c r="D31" s="427"/>
      <c r="E31" s="428">
        <f>+[23]ACTIVOS!D167</f>
        <v>1401.75</v>
      </c>
      <c r="F31" s="427">
        <f>+[23]ACTIVOS!E167</f>
        <v>3898.5</v>
      </c>
      <c r="G31" s="428">
        <f>+[23]ACTIVOS!F167</f>
        <v>0</v>
      </c>
      <c r="H31" s="428">
        <f>+[23]ACTIVOS!G167</f>
        <v>0</v>
      </c>
      <c r="I31" s="429">
        <f>+[23]ACTIVOS!H167</f>
        <v>0</v>
      </c>
      <c r="J31" s="16"/>
    </row>
    <row r="32" spans="2:11" ht="13.8" thickBot="1">
      <c r="B32" s="129"/>
      <c r="C32" s="129"/>
      <c r="D32" s="129"/>
      <c r="E32" s="129"/>
      <c r="F32" s="129"/>
      <c r="G32" s="129"/>
      <c r="H32" s="129"/>
      <c r="I32" s="129"/>
    </row>
    <row r="33" spans="2:14">
      <c r="B33" s="1229" t="s">
        <v>60</v>
      </c>
      <c r="C33" s="1230"/>
      <c r="D33" s="17">
        <v>2012</v>
      </c>
      <c r="E33" s="17">
        <v>2013</v>
      </c>
      <c r="F33" s="17">
        <v>2013</v>
      </c>
      <c r="G33" s="17">
        <f>+F33+1</f>
        <v>2014</v>
      </c>
      <c r="H33" s="17">
        <v>2014</v>
      </c>
      <c r="I33" s="17">
        <f>+H33+1</f>
        <v>2015</v>
      </c>
      <c r="J33" s="17">
        <v>2015</v>
      </c>
      <c r="K33" s="17">
        <f t="shared" ref="K33:M33" si="0">+J33+1</f>
        <v>2016</v>
      </c>
      <c r="L33" s="17">
        <v>2016</v>
      </c>
      <c r="M33" s="17">
        <f t="shared" si="0"/>
        <v>2017</v>
      </c>
      <c r="N33" s="18">
        <v>2017</v>
      </c>
    </row>
    <row r="34" spans="2:14" ht="12.75" customHeight="1">
      <c r="B34" s="1231"/>
      <c r="C34" s="1232"/>
      <c r="D34" s="137"/>
      <c r="E34" s="138" t="s">
        <v>252</v>
      </c>
      <c r="F34" s="139" t="s">
        <v>253</v>
      </c>
      <c r="G34" s="138" t="s">
        <v>252</v>
      </c>
      <c r="H34" s="139" t="s">
        <v>253</v>
      </c>
      <c r="I34" s="139" t="s">
        <v>252</v>
      </c>
      <c r="J34" s="139" t="s">
        <v>253</v>
      </c>
      <c r="K34" s="138" t="s">
        <v>252</v>
      </c>
      <c r="L34" s="139" t="s">
        <v>253</v>
      </c>
      <c r="M34" s="138" t="s">
        <v>252</v>
      </c>
      <c r="N34" s="140" t="s">
        <v>253</v>
      </c>
    </row>
    <row r="35" spans="2:14">
      <c r="B35" s="19" t="s">
        <v>102</v>
      </c>
      <c r="C35" s="141"/>
      <c r="D35" s="141"/>
      <c r="E35" s="430">
        <f>SUM(E36:E41)</f>
        <v>23742.428665908035</v>
      </c>
      <c r="F35" s="430">
        <f t="shared" ref="F35:N35" si="1">SUM(F36:F41)</f>
        <v>24339.33819020848</v>
      </c>
      <c r="G35" s="430">
        <f t="shared" si="1"/>
        <v>24651.426255873906</v>
      </c>
      <c r="H35" s="430">
        <f t="shared" si="1"/>
        <v>26952.488405317636</v>
      </c>
      <c r="I35" s="430">
        <f t="shared" si="1"/>
        <v>28638.075106185493</v>
      </c>
      <c r="J35" s="430">
        <f t="shared" si="1"/>
        <v>30360.599533886892</v>
      </c>
      <c r="K35" s="430">
        <f t="shared" si="1"/>
        <v>31932.023005770076</v>
      </c>
      <c r="L35" s="430">
        <f t="shared" si="1"/>
        <v>34247.751368582976</v>
      </c>
      <c r="M35" s="430">
        <f t="shared" si="1"/>
        <v>40285.448478868842</v>
      </c>
      <c r="N35" s="431">
        <f t="shared" si="1"/>
        <v>42390.930673526826</v>
      </c>
    </row>
    <row r="36" spans="2:14">
      <c r="B36" s="113" t="s">
        <v>62</v>
      </c>
      <c r="C36" s="114" t="s">
        <v>49</v>
      </c>
      <c r="D36" s="142"/>
      <c r="E36" s="432">
        <f>E8*(D$22/2+E$26)</f>
        <v>6301.4452930540674</v>
      </c>
      <c r="F36" s="432">
        <f>E8*(D$22/2+E$27)</f>
        <v>6314.8156318289011</v>
      </c>
      <c r="G36" s="432">
        <f>F8*(E$22/2+F$26)</f>
        <v>6478.8699141589714</v>
      </c>
      <c r="H36" s="432">
        <f>F8*(E$22/2+F$27)</f>
        <v>6800.9837585910118</v>
      </c>
      <c r="I36" s="432">
        <f>G8*(F$22/2+G$26)</f>
        <v>7104.95853065961</v>
      </c>
      <c r="J36" s="432">
        <f>G8*(F$22/2+G$27)</f>
        <v>7346.0858577372956</v>
      </c>
      <c r="K36" s="432">
        <f>H8*(G$22/2+H$26)</f>
        <v>7802.548458131585</v>
      </c>
      <c r="L36" s="432">
        <f>H8*(G$22/2+H$27)</f>
        <v>8126.7153502715055</v>
      </c>
      <c r="M36" s="432">
        <f>I8*(H$22/2+I$26)</f>
        <v>9090.0518196196226</v>
      </c>
      <c r="N36" s="433">
        <f>I8*(H$22/2+I$27)</f>
        <v>9384.7874330268678</v>
      </c>
    </row>
    <row r="37" spans="2:14">
      <c r="B37" s="118" t="s">
        <v>63</v>
      </c>
      <c r="C37" s="119" t="s">
        <v>49</v>
      </c>
      <c r="D37" s="143"/>
      <c r="E37" s="434">
        <f>E9*(D$22/2+E$26)</f>
        <v>4448.0790303911062</v>
      </c>
      <c r="F37" s="434">
        <f>+E9*(D$22/2+E$27)</f>
        <v>4457.5169165851066</v>
      </c>
      <c r="G37" s="434">
        <f>+F9*(E$22/2+F$26)</f>
        <v>4573.3199394063322</v>
      </c>
      <c r="H37" s="434">
        <f>+F9*(E$22/2+F$27)</f>
        <v>4800.6944178289486</v>
      </c>
      <c r="I37" s="434">
        <f>G9*(F$22/2+G$26)</f>
        <v>5015.2648451714895</v>
      </c>
      <c r="J37" s="434">
        <f>G9*(F$22/2+G$27)</f>
        <v>5185.472370167502</v>
      </c>
      <c r="K37" s="434">
        <f>H9*(G$22/2+H$26)</f>
        <v>5507.6812645634718</v>
      </c>
      <c r="L37" s="434">
        <f>H9*(G$22/2+H$27)</f>
        <v>5736.5049531328268</v>
      </c>
      <c r="M37" s="434">
        <f>I9*(H$22/2+I$26)</f>
        <v>6416.5071667903212</v>
      </c>
      <c r="N37" s="435">
        <f>I9*(H$22/2+I$27)</f>
        <v>6624.5558350777892</v>
      </c>
    </row>
    <row r="38" spans="2:14">
      <c r="B38" s="118" t="s">
        <v>64</v>
      </c>
      <c r="C38" s="119" t="s">
        <v>49</v>
      </c>
      <c r="D38" s="143"/>
      <c r="E38" s="434">
        <f>(-[23]ACTIVOS!D33-[23]ACTIVOS!D88)/2+D10*E26</f>
        <v>5644.2526211978529</v>
      </c>
      <c r="F38" s="434">
        <f>(-[23]ACTIVOS!D33-[23]ACTIVOS!D88)/2+D10*E27</f>
        <v>5668.123239389296</v>
      </c>
      <c r="G38" s="434">
        <f>(-[23]ACTIVOS!E33-[23]ACTIVOS!E88)/2+D10*F26</f>
        <v>5949.2993682674905</v>
      </c>
      <c r="H38" s="434">
        <f>(-[23]ACTIVOS!E33-[23]ACTIVOS!E88)/2+D10*F27</f>
        <v>6524.3825224122647</v>
      </c>
      <c r="I38" s="434">
        <f>(-[23]ACTIVOS!F33-[23]ACTIVOS!F88)/2+D10*G26</f>
        <v>6972.5166391291596</v>
      </c>
      <c r="J38" s="434">
        <f>(-[23]ACTIVOS!F33-[23]ACTIVOS!F88)/2+D10*G27</f>
        <v>7403.0112179971893</v>
      </c>
      <c r="K38" s="434">
        <f>(-[23]ACTIVOS!G33-[23]ACTIVOS!G88)/2+D10*H26</f>
        <v>7646.7944829352737</v>
      </c>
      <c r="L38" s="434">
        <f>(-[23]ACTIVOS!G33-[23]ACTIVOS!G88)/2+D10*H27</f>
        <v>8225.543027971702</v>
      </c>
      <c r="M38" s="434">
        <f>(-[23]ACTIVOS!H33-[23]ACTIVOS!H88)/2+D10*I26</f>
        <v>9873.5618111486765</v>
      </c>
      <c r="N38" s="435">
        <f>(-[23]ACTIVOS!H33-[23]ACTIVOS!H88)/2+D10*I27</f>
        <v>10399.765478351794</v>
      </c>
    </row>
    <row r="39" spans="2:14">
      <c r="B39" s="118" t="s">
        <v>65</v>
      </c>
      <c r="C39" s="119" t="s">
        <v>49</v>
      </c>
      <c r="D39" s="143"/>
      <c r="E39" s="434">
        <f>$D$11*(D17/2+E26)</f>
        <v>7146.093921265011</v>
      </c>
      <c r="F39" s="16">
        <f>$D$11*(D17/2+E27)</f>
        <v>7194.9278324051775</v>
      </c>
      <c r="G39" s="434">
        <f>$D$11*(E17/2+F26)</f>
        <v>7409.8792340411137</v>
      </c>
      <c r="H39" s="434">
        <f>$D$11*(E17/2+F27)</f>
        <v>8586.3699064854118</v>
      </c>
      <c r="I39" s="434">
        <f>$D$11*(F17/2+G26)</f>
        <v>9305.2772912252349</v>
      </c>
      <c r="J39" s="434">
        <f>$D$11*(F17/2+G27)</f>
        <v>10185.972287984907</v>
      </c>
      <c r="K39" s="434">
        <f>$D$11*(G17/2+H26)</f>
        <v>10484.941000139745</v>
      </c>
      <c r="L39" s="434">
        <f>$D$11*(G17/2+H27)</f>
        <v>11668.930237206938</v>
      </c>
      <c r="M39" s="434">
        <f>$D$11*(H17/2+I26)</f>
        <v>14665.269881310218</v>
      </c>
      <c r="N39" s="435">
        <f>$D$11*(H17/2+I27)</f>
        <v>15741.764127070373</v>
      </c>
    </row>
    <row r="40" spans="2:14">
      <c r="B40" s="118" t="s">
        <v>103</v>
      </c>
      <c r="C40" s="119" t="s">
        <v>49</v>
      </c>
      <c r="D40" s="143"/>
      <c r="E40" s="434">
        <f>405.1156/2</f>
        <v>202.55779999999999</v>
      </c>
      <c r="F40" s="434">
        <f t="shared" ref="F40:N40" si="2">405.1156/2</f>
        <v>202.55779999999999</v>
      </c>
      <c r="G40" s="434">
        <f t="shared" si="2"/>
        <v>202.55779999999999</v>
      </c>
      <c r="H40" s="434">
        <f t="shared" si="2"/>
        <v>202.55779999999999</v>
      </c>
      <c r="I40" s="434">
        <f t="shared" si="2"/>
        <v>202.55779999999999</v>
      </c>
      <c r="J40" s="434">
        <f t="shared" si="2"/>
        <v>202.55779999999999</v>
      </c>
      <c r="K40" s="434">
        <f t="shared" si="2"/>
        <v>202.55779999999999</v>
      </c>
      <c r="L40" s="434">
        <f t="shared" si="2"/>
        <v>202.55779999999999</v>
      </c>
      <c r="M40" s="434">
        <f t="shared" si="2"/>
        <v>202.55779999999999</v>
      </c>
      <c r="N40" s="435">
        <f t="shared" si="2"/>
        <v>202.55779999999999</v>
      </c>
    </row>
    <row r="41" spans="2:14">
      <c r="B41" s="118" t="s">
        <v>254</v>
      </c>
      <c r="C41" s="119"/>
      <c r="D41" s="143"/>
      <c r="E41" s="434"/>
      <c r="F41" s="434">
        <f>456.39677+45</f>
        <v>501.39677</v>
      </c>
      <c r="G41" s="434">
        <v>37.5</v>
      </c>
      <c r="H41" s="434">
        <v>37.5</v>
      </c>
      <c r="I41" s="434">
        <v>37.5</v>
      </c>
      <c r="J41" s="434">
        <v>37.5</v>
      </c>
      <c r="K41" s="434">
        <f>37.5+250</f>
        <v>287.5</v>
      </c>
      <c r="L41" s="434">
        <f>37.5+250</f>
        <v>287.5</v>
      </c>
      <c r="M41" s="434">
        <v>37.5</v>
      </c>
      <c r="N41" s="435">
        <v>37.5</v>
      </c>
    </row>
    <row r="42" spans="2:14">
      <c r="B42" s="122"/>
      <c r="C42" s="123"/>
      <c r="D42" s="144"/>
      <c r="E42" s="436"/>
      <c r="F42" s="436"/>
      <c r="G42" s="436"/>
      <c r="H42" s="436"/>
      <c r="I42" s="436"/>
      <c r="J42" s="436"/>
      <c r="K42" s="436"/>
      <c r="L42" s="436"/>
      <c r="M42" s="436"/>
      <c r="N42" s="437"/>
    </row>
    <row r="43" spans="2:14" ht="26.4">
      <c r="B43" s="20" t="s">
        <v>104</v>
      </c>
      <c r="C43" s="144"/>
      <c r="D43" s="144"/>
      <c r="E43" s="438">
        <f t="shared" ref="E43:J43" si="3">SUM(E44:E47)</f>
        <v>0</v>
      </c>
      <c r="F43" s="438">
        <f t="shared" si="3"/>
        <v>0</v>
      </c>
      <c r="G43" s="438">
        <f t="shared" si="3"/>
        <v>0</v>
      </c>
      <c r="H43" s="438">
        <f t="shared" si="3"/>
        <v>0</v>
      </c>
      <c r="I43" s="438">
        <f t="shared" si="3"/>
        <v>0</v>
      </c>
      <c r="J43" s="438">
        <f t="shared" si="3"/>
        <v>0</v>
      </c>
      <c r="K43" s="438">
        <f t="shared" ref="K43:N43" si="4">SUM(K44:K47)</f>
        <v>0</v>
      </c>
      <c r="L43" s="438">
        <f t="shared" si="4"/>
        <v>0</v>
      </c>
      <c r="M43" s="438">
        <f t="shared" si="4"/>
        <v>19066.56807646832</v>
      </c>
      <c r="N43" s="439">
        <f t="shared" si="4"/>
        <v>19066.56807646832</v>
      </c>
    </row>
    <row r="44" spans="2:14">
      <c r="B44" s="118" t="s">
        <v>62</v>
      </c>
      <c r="C44" s="114" t="s">
        <v>49</v>
      </c>
      <c r="D44" s="143"/>
      <c r="E44" s="440"/>
      <c r="F44" s="440"/>
      <c r="G44" s="440"/>
      <c r="H44" s="432"/>
      <c r="I44" s="432"/>
      <c r="J44" s="432"/>
      <c r="K44" s="432">
        <f>H8*(G23/2+H28)</f>
        <v>0</v>
      </c>
      <c r="L44" s="432">
        <f>H8*(G23/2+H29)</f>
        <v>0</v>
      </c>
      <c r="M44" s="432">
        <f>I8*(H23/2+I28)</f>
        <v>2669.0307103270252</v>
      </c>
      <c r="N44" s="433">
        <f>I8*(H23/2+I29)</f>
        <v>2669.0307103270252</v>
      </c>
    </row>
    <row r="45" spans="2:14">
      <c r="B45" s="118" t="s">
        <v>63</v>
      </c>
      <c r="C45" s="119" t="s">
        <v>49</v>
      </c>
      <c r="D45" s="143"/>
      <c r="E45" s="440"/>
      <c r="F45" s="440"/>
      <c r="G45" s="440"/>
      <c r="H45" s="434"/>
      <c r="I45" s="434"/>
      <c r="J45" s="434"/>
      <c r="K45" s="434">
        <f>H9*(G$23/2+H$28)</f>
        <v>0</v>
      </c>
      <c r="L45" s="434">
        <f>H9*(G$23/2+H$29)</f>
        <v>0</v>
      </c>
      <c r="M45" s="434">
        <f>I9*(H$23/2+I$28)</f>
        <v>1884.0216778778999</v>
      </c>
      <c r="N45" s="435">
        <f>I9*(H$23/2+I$29)</f>
        <v>1884.0216778778999</v>
      </c>
    </row>
    <row r="46" spans="2:14">
      <c r="B46" s="118" t="s">
        <v>64</v>
      </c>
      <c r="C46" s="119" t="s">
        <v>49</v>
      </c>
      <c r="D46" s="143"/>
      <c r="E46" s="434"/>
      <c r="F46" s="434"/>
      <c r="G46" s="434"/>
      <c r="H46" s="434"/>
      <c r="I46" s="434"/>
      <c r="J46" s="434"/>
      <c r="K46" s="434"/>
      <c r="L46" s="434"/>
      <c r="M46" s="434">
        <f>-[23]ACTIVOS!H60/2+D10*I28</f>
        <v>4765.1307943951715</v>
      </c>
      <c r="N46" s="435">
        <f>-[23]ACTIVOS!H60/2+D10*I29</f>
        <v>4765.1307943951715</v>
      </c>
    </row>
    <row r="47" spans="2:14">
      <c r="B47" s="118" t="s">
        <v>65</v>
      </c>
      <c r="C47" s="119" t="s">
        <v>49</v>
      </c>
      <c r="D47" s="143"/>
      <c r="E47" s="434"/>
      <c r="F47" s="434"/>
      <c r="G47" s="434"/>
      <c r="H47" s="441"/>
      <c r="I47" s="441"/>
      <c r="J47" s="441"/>
      <c r="K47" s="441"/>
      <c r="L47" s="441"/>
      <c r="M47" s="441">
        <f>$D$11*(H18/2+I28)</f>
        <v>9748.384893868224</v>
      </c>
      <c r="N47" s="442">
        <f>$D$11*(H18/2+I29)</f>
        <v>9748.384893868224</v>
      </c>
    </row>
    <row r="48" spans="2:14" ht="13.8" thickBot="1">
      <c r="B48" s="135"/>
      <c r="C48" s="136"/>
      <c r="D48" s="145"/>
      <c r="E48" s="146"/>
      <c r="F48" s="146"/>
      <c r="G48" s="146"/>
      <c r="H48" s="146"/>
      <c r="I48" s="146"/>
      <c r="J48" s="146"/>
      <c r="K48" s="146"/>
      <c r="L48" s="146"/>
      <c r="M48" s="146"/>
      <c r="N48" s="147"/>
    </row>
    <row r="49" spans="2:15">
      <c r="B49" s="79" t="s">
        <v>66</v>
      </c>
      <c r="C49" s="144"/>
      <c r="D49" s="144"/>
      <c r="E49" s="438">
        <f>SUM(E50:E53)</f>
        <v>1562.5492316312316</v>
      </c>
      <c r="F49" s="438">
        <f t="shared" ref="F49:N49" si="5">SUM(F50:F53)</f>
        <v>1749.8032425155825</v>
      </c>
      <c r="G49" s="438">
        <f t="shared" si="5"/>
        <v>2086.6163326286228</v>
      </c>
      <c r="H49" s="438">
        <f t="shared" si="5"/>
        <v>2607.4008958051099</v>
      </c>
      <c r="I49" s="438">
        <f t="shared" si="5"/>
        <v>2559.449984126014</v>
      </c>
      <c r="J49" s="438">
        <f t="shared" si="5"/>
        <v>2559.449984126014</v>
      </c>
      <c r="K49" s="438">
        <f t="shared" si="5"/>
        <v>2516.7109091234051</v>
      </c>
      <c r="L49" s="438">
        <f t="shared" si="5"/>
        <v>2516.7109091234051</v>
      </c>
      <c r="M49" s="438">
        <f t="shared" si="5"/>
        <v>2473.9718341207958</v>
      </c>
      <c r="N49" s="439">
        <f t="shared" si="5"/>
        <v>2473.9718341207958</v>
      </c>
    </row>
    <row r="50" spans="2:15">
      <c r="B50" s="118" t="s">
        <v>62</v>
      </c>
      <c r="C50" s="114" t="s">
        <v>49</v>
      </c>
      <c r="D50" s="143"/>
      <c r="E50" s="434">
        <f>E8*(D$24/2+E$30)</f>
        <v>519.71133758130452</v>
      </c>
      <c r="F50" s="434">
        <f>E8*(D$24/2+E$31)</f>
        <v>545.9240625813045</v>
      </c>
      <c r="G50" s="434">
        <f>F8*(E$24/2+F$30)</f>
        <v>598.7281875813045</v>
      </c>
      <c r="H50" s="434">
        <f>F8*(E$24/2+F$31)</f>
        <v>671.63013758130444</v>
      </c>
      <c r="I50" s="434">
        <f>G8*(F$24/2+G$30)</f>
        <v>671.63013758130444</v>
      </c>
      <c r="J50" s="434">
        <f>G8*(F$24/2+G$31)</f>
        <v>671.63013758130444</v>
      </c>
      <c r="K50" s="434">
        <f>H8*(G$24/2+H$30)</f>
        <v>671.63013758130444</v>
      </c>
      <c r="L50" s="434">
        <f>H8*(G$24/2+H$31)</f>
        <v>671.63013758130444</v>
      </c>
      <c r="M50" s="434">
        <f>I8*(H$24/2+I$30)</f>
        <v>671.63013758130444</v>
      </c>
      <c r="N50" s="435">
        <f>I8*(H$24/2+I$31)</f>
        <v>671.63013758130444</v>
      </c>
    </row>
    <row r="51" spans="2:15">
      <c r="B51" s="118" t="s">
        <v>63</v>
      </c>
      <c r="C51" s="119" t="s">
        <v>49</v>
      </c>
      <c r="D51" s="143"/>
      <c r="E51" s="434">
        <f>E9*(D$24/2+E$30)</f>
        <v>366.85506182209724</v>
      </c>
      <c r="F51" s="434">
        <f>E9*(D$24/2+E$31)</f>
        <v>385.35816182209726</v>
      </c>
      <c r="G51" s="434">
        <f>F9*(E$24/2+F$30)</f>
        <v>422.63166182209721</v>
      </c>
      <c r="H51" s="434">
        <f>F9*(E$24/2+F$31)</f>
        <v>474.0918618220972</v>
      </c>
      <c r="I51" s="434">
        <f>G9*(F$24/2+G$30)</f>
        <v>474.0918618220972</v>
      </c>
      <c r="J51" s="434">
        <f>G9*(F$24/2+G$31)</f>
        <v>474.0918618220972</v>
      </c>
      <c r="K51" s="434">
        <f>H9*(G$24/2+H$30)</f>
        <v>474.0918618220972</v>
      </c>
      <c r="L51" s="434">
        <f>H9*(G$24/2+H$31)</f>
        <v>474.0918618220972</v>
      </c>
      <c r="M51" s="434">
        <f>I9*(H$24/2+I$30)</f>
        <v>474.0918618220972</v>
      </c>
      <c r="N51" s="435">
        <f>I9*(H$24/2+I$31)</f>
        <v>474.0918618220972</v>
      </c>
    </row>
    <row r="52" spans="2:15">
      <c r="B52" s="118" t="s">
        <v>64</v>
      </c>
      <c r="C52" s="119" t="s">
        <v>49</v>
      </c>
      <c r="D52" s="143"/>
      <c r="E52" s="434">
        <f>-[23]ACTIVOS!D116/2+D10*E30</f>
        <v>382.03512448914898</v>
      </c>
      <c r="F52" s="434">
        <f>-[23]ACTIVOS!D116/2+D10*E31</f>
        <v>428.83378537349972</v>
      </c>
      <c r="G52" s="434">
        <f>-[23]ACTIVOS!E116/2+D10*F30</f>
        <v>508.80012448914897</v>
      </c>
      <c r="H52" s="434">
        <f>-[23]ACTIVOS!E116/2+D10*F31</f>
        <v>638.95498766563639</v>
      </c>
      <c r="I52" s="434">
        <f>-[23]ACTIVOS!F116/2+D10*G30</f>
        <v>625.75512448914901</v>
      </c>
      <c r="J52" s="434">
        <f>-[23]ACTIVOS!F116/2+D10*G31</f>
        <v>625.75512448914901</v>
      </c>
      <c r="K52" s="434">
        <f>-[23]ACTIVOS!G116/2+D10*H30</f>
        <v>625.75512448914901</v>
      </c>
      <c r="L52" s="434">
        <f>-[23]ACTIVOS!G116/2+D10*H31</f>
        <v>625.75512448914901</v>
      </c>
      <c r="M52" s="434">
        <f>-[23]ACTIVOS!H116/2+D10*I30</f>
        <v>625.75512448914901</v>
      </c>
      <c r="N52" s="435">
        <f>-[23]ACTIVOS!H116/2+D10*I31</f>
        <v>625.75512448914901</v>
      </c>
    </row>
    <row r="53" spans="2:15">
      <c r="B53" s="122" t="s">
        <v>65</v>
      </c>
      <c r="C53" s="123" t="s">
        <v>49</v>
      </c>
      <c r="D53" s="144"/>
      <c r="E53" s="436">
        <f>+$D$11*(D19/2+E30)</f>
        <v>293.94770773868089</v>
      </c>
      <c r="F53" s="436">
        <f>+$D$11*(D19/2+E31)</f>
        <v>389.68723273868085</v>
      </c>
      <c r="G53" s="436">
        <f>+$D$11*(E19/2+F30)</f>
        <v>556.45635873607205</v>
      </c>
      <c r="H53" s="436">
        <f>+$D$11*(E19/2+F31)</f>
        <v>822.72390873607196</v>
      </c>
      <c r="I53" s="436">
        <f>+$D$11*(F19/2+G30)</f>
        <v>787.97286023346305</v>
      </c>
      <c r="J53" s="436">
        <f>+$D$11*(F19/2+G31)</f>
        <v>787.97286023346305</v>
      </c>
      <c r="K53" s="436">
        <f>+$D$11*(G19/2+H30)</f>
        <v>745.23378523085432</v>
      </c>
      <c r="L53" s="436">
        <f>+$D$11*(G19/2+H31)</f>
        <v>745.23378523085432</v>
      </c>
      <c r="M53" s="436">
        <f>+$D$11*(H19/2+I30)</f>
        <v>702.49471022824525</v>
      </c>
      <c r="N53" s="437">
        <f>+$D$11*(H19/2+I31)</f>
        <v>702.49471022824525</v>
      </c>
    </row>
    <row r="54" spans="2:15">
      <c r="B54" s="118"/>
      <c r="C54" s="123"/>
      <c r="D54" s="143"/>
      <c r="E54" s="434"/>
      <c r="F54" s="434"/>
      <c r="G54" s="434"/>
      <c r="H54" s="434"/>
      <c r="J54" s="434"/>
      <c r="K54" s="434"/>
      <c r="L54" s="434"/>
      <c r="M54" s="434"/>
      <c r="N54" s="435"/>
    </row>
    <row r="55" spans="2:15">
      <c r="B55" s="19" t="s">
        <v>67</v>
      </c>
      <c r="C55" s="141"/>
      <c r="D55" s="141"/>
      <c r="E55" s="443">
        <f>SUM(E56:E57)</f>
        <v>4018.3760319549992</v>
      </c>
      <c r="F55" s="443">
        <f t="shared" ref="F55:N55" si="6">SUM(F56:F57)</f>
        <v>5446.2451419549989</v>
      </c>
      <c r="G55" s="443">
        <f t="shared" si="6"/>
        <v>4874.9175990399999</v>
      </c>
      <c r="H55" s="443">
        <f t="shared" si="6"/>
        <v>5167.2775990399996</v>
      </c>
      <c r="I55" s="443">
        <f t="shared" si="6"/>
        <v>8115.9753925249997</v>
      </c>
      <c r="J55" s="443">
        <f t="shared" si="6"/>
        <v>5121.5353925250001</v>
      </c>
      <c r="K55" s="443">
        <f t="shared" si="6"/>
        <v>5386.7574360099998</v>
      </c>
      <c r="L55" s="443">
        <f t="shared" si="6"/>
        <v>5770.1574360099994</v>
      </c>
      <c r="M55" s="443">
        <f t="shared" si="6"/>
        <v>5875.024937369999</v>
      </c>
      <c r="N55" s="444">
        <f t="shared" si="6"/>
        <v>5133.2249373699997</v>
      </c>
    </row>
    <row r="56" spans="2:15">
      <c r="B56" s="118" t="s">
        <v>75</v>
      </c>
      <c r="C56" s="114" t="s">
        <v>49</v>
      </c>
      <c r="D56" s="445"/>
      <c r="E56" s="446">
        <f>[23]CND!B9</f>
        <v>2367.7561405299994</v>
      </c>
      <c r="F56" s="446">
        <f>[23]CND!C9</f>
        <v>3763.125250529999</v>
      </c>
      <c r="G56" s="446">
        <f>[23]CND!D9</f>
        <v>3086.7081513399999</v>
      </c>
      <c r="H56" s="446">
        <f>[23]CND!E9</f>
        <v>3453.5681513399995</v>
      </c>
      <c r="I56" s="446">
        <f>[23]CND!F9</f>
        <v>3516.1801621499999</v>
      </c>
      <c r="J56" s="446">
        <f>[23]CND!G9</f>
        <v>3066.7801621499998</v>
      </c>
      <c r="K56" s="446">
        <f>[23]CND!H9</f>
        <v>3001.8921729599997</v>
      </c>
      <c r="L56" s="446">
        <f>[23]CND!I9</f>
        <v>3687.4921729599996</v>
      </c>
      <c r="M56" s="446">
        <f>[23]CND!J9</f>
        <v>3206.7041837699994</v>
      </c>
      <c r="N56" s="447">
        <f>[23]CND!K9</f>
        <v>3057.6041837699995</v>
      </c>
    </row>
    <row r="57" spans="2:15">
      <c r="B57" s="118" t="s">
        <v>68</v>
      </c>
      <c r="C57" s="119" t="s">
        <v>49</v>
      </c>
      <c r="D57" s="445"/>
      <c r="E57" s="448">
        <f>[23]HID!B8/1000+(-[23]ACTIVOS!D145+$D$11*D20)/2</f>
        <v>1650.6198914250001</v>
      </c>
      <c r="F57" s="448">
        <f>[23]HID!C8/1000+(-[23]ACTIVOS!D145+$D$11*D20)/2</f>
        <v>1683.1198914250001</v>
      </c>
      <c r="G57" s="448">
        <f>[23]HID!D8/1000+(-[23]ACTIVOS!E145+$D$11*E20)/2</f>
        <v>1788.2094476999998</v>
      </c>
      <c r="H57" s="448">
        <f>[23]HID!E8/1000+(-[23]ACTIVOS!E145+$D$11*E20)/2</f>
        <v>1713.7094476999998</v>
      </c>
      <c r="I57" s="448">
        <f>[23]HID!F8/1000+(-[23]ACTIVOS!F145+$D$11*F20)/2</f>
        <v>4599.7952303749998</v>
      </c>
      <c r="J57" s="448">
        <f>[23]HID!G8/1000+(-[23]ACTIVOS!F145+$D$11*F20)/2</f>
        <v>2054.7552303749999</v>
      </c>
      <c r="K57" s="448">
        <f>[23]HID!H8/1000+(-[23]ACTIVOS!G145+$D$11*G20)/2</f>
        <v>2384.8652630500001</v>
      </c>
      <c r="L57" s="448">
        <f>[23]HID!I8/1000+(-[23]ACTIVOS!G145+$D$11*G20)/2</f>
        <v>2082.6652630499998</v>
      </c>
      <c r="M57" s="448">
        <f>[23]HID!J8/1000+(-[23]ACTIVOS!H145+$D$11*H20)/2</f>
        <v>2668.3207535999995</v>
      </c>
      <c r="N57" s="449">
        <f>[23]HID!K8/1000+(-[23]ACTIVOS!H145+$D$11*H20)/2</f>
        <v>2075.6207535999997</v>
      </c>
      <c r="O57" s="148"/>
    </row>
    <row r="58" spans="2:15">
      <c r="B58" s="118"/>
      <c r="C58" s="123"/>
      <c r="D58" s="143"/>
      <c r="E58" s="150"/>
      <c r="F58" s="150"/>
      <c r="G58" s="150"/>
      <c r="H58" s="150"/>
      <c r="I58" s="150"/>
      <c r="J58" s="151"/>
      <c r="K58" s="151"/>
      <c r="L58" s="151"/>
      <c r="M58" s="151"/>
      <c r="N58" s="152"/>
    </row>
    <row r="59" spans="2:15" ht="13.8" thickBot="1">
      <c r="B59" s="21" t="s">
        <v>2</v>
      </c>
      <c r="C59" s="136" t="s">
        <v>49</v>
      </c>
      <c r="D59" s="153"/>
      <c r="E59" s="450">
        <f t="shared" ref="E59:N59" si="7">E35+E49+E55</f>
        <v>29323.353929494264</v>
      </c>
      <c r="F59" s="450">
        <f t="shared" si="7"/>
        <v>31535.386574679062</v>
      </c>
      <c r="G59" s="450">
        <f t="shared" si="7"/>
        <v>31612.960187542529</v>
      </c>
      <c r="H59" s="450">
        <f t="shared" si="7"/>
        <v>34727.166900162745</v>
      </c>
      <c r="I59" s="450">
        <f t="shared" si="7"/>
        <v>39313.500482836505</v>
      </c>
      <c r="J59" s="450">
        <f t="shared" si="7"/>
        <v>38041.584910537909</v>
      </c>
      <c r="K59" s="450">
        <f t="shared" si="7"/>
        <v>39835.491350903481</v>
      </c>
      <c r="L59" s="450">
        <f t="shared" si="7"/>
        <v>42534.619713716376</v>
      </c>
      <c r="M59" s="450">
        <f t="shared" si="7"/>
        <v>48634.44525035964</v>
      </c>
      <c r="N59" s="451">
        <f t="shared" si="7"/>
        <v>49998.127445017628</v>
      </c>
    </row>
    <row r="60" spans="2:15">
      <c r="E60" s="452"/>
      <c r="F60" s="452"/>
      <c r="G60" s="452"/>
      <c r="H60" s="452"/>
      <c r="I60" s="452"/>
      <c r="J60" s="452"/>
      <c r="K60" s="452"/>
      <c r="L60" s="452"/>
      <c r="M60" s="452"/>
      <c r="N60" s="452"/>
    </row>
    <row r="61" spans="2:15">
      <c r="E61" s="452"/>
      <c r="F61" s="452"/>
      <c r="G61" s="452"/>
      <c r="H61" s="452"/>
      <c r="I61" s="452"/>
      <c r="J61" s="452"/>
      <c r="K61" s="452"/>
      <c r="L61" s="452"/>
      <c r="M61" s="452"/>
      <c r="N61" s="452"/>
    </row>
    <row r="62" spans="2:15">
      <c r="B62" s="1228" t="s">
        <v>39</v>
      </c>
      <c r="C62" s="1228"/>
      <c r="D62" s="1228"/>
      <c r="E62" s="1228"/>
      <c r="F62" s="1228"/>
      <c r="G62" s="1228"/>
      <c r="H62" s="1228"/>
      <c r="I62" s="1228"/>
    </row>
    <row r="63" spans="2:15">
      <c r="B63" s="1228" t="s">
        <v>69</v>
      </c>
      <c r="C63" s="1228"/>
      <c r="D63" s="1228"/>
      <c r="E63" s="1228"/>
      <c r="F63" s="1228"/>
      <c r="G63" s="1228"/>
      <c r="H63" s="1228"/>
      <c r="I63" s="1228"/>
    </row>
    <row r="64" spans="2:15">
      <c r="B64" s="1228" t="s">
        <v>105</v>
      </c>
      <c r="C64" s="1228"/>
      <c r="D64" s="1228"/>
      <c r="E64" s="1228"/>
      <c r="F64" s="1228"/>
      <c r="G64" s="1228"/>
      <c r="H64" s="1228"/>
      <c r="I64" s="1228"/>
    </row>
    <row r="65" spans="2:15" ht="3" customHeight="1">
      <c r="B65" s="9"/>
      <c r="C65" s="10"/>
      <c r="D65" s="10"/>
      <c r="E65" s="10"/>
      <c r="F65" s="10"/>
      <c r="G65" s="10"/>
      <c r="H65" s="10"/>
      <c r="I65" s="10"/>
    </row>
    <row r="66" spans="2:15" ht="3" customHeight="1" thickBot="1">
      <c r="B66" s="9"/>
      <c r="C66" s="10"/>
      <c r="D66" s="10"/>
      <c r="E66" s="10"/>
      <c r="F66" s="10"/>
      <c r="G66" s="10"/>
      <c r="H66" s="10"/>
      <c r="I66" s="10"/>
    </row>
    <row r="67" spans="2:15" ht="13.8">
      <c r="B67" s="453" t="s">
        <v>70</v>
      </c>
      <c r="C67" s="454"/>
      <c r="D67" s="455"/>
      <c r="E67" s="456">
        <v>2013</v>
      </c>
      <c r="F67" s="457">
        <v>2014</v>
      </c>
      <c r="G67" s="456">
        <v>2015</v>
      </c>
      <c r="H67" s="457">
        <v>2016</v>
      </c>
      <c r="I67" s="458">
        <v>2017</v>
      </c>
    </row>
    <row r="68" spans="2:15" ht="13.8">
      <c r="B68" s="22" t="s">
        <v>106</v>
      </c>
      <c r="C68" s="459"/>
      <c r="D68" s="23"/>
      <c r="E68" s="23"/>
      <c r="F68" s="460"/>
      <c r="G68" s="460"/>
      <c r="H68" s="460"/>
      <c r="I68" s="461"/>
    </row>
    <row r="69" spans="2:15" ht="13.8">
      <c r="B69" s="154" t="s">
        <v>102</v>
      </c>
      <c r="C69" s="155"/>
      <c r="D69" s="24"/>
      <c r="E69" s="462">
        <f>+E35+F35</f>
        <v>48081.766856116519</v>
      </c>
      <c r="F69" s="463">
        <f>+G35+H35</f>
        <v>51603.914661191542</v>
      </c>
      <c r="G69" s="463">
        <f>+I35+J35</f>
        <v>58998.674640072386</v>
      </c>
      <c r="H69" s="463">
        <f>+K35+L35</f>
        <v>66179.774374353059</v>
      </c>
      <c r="I69" s="464">
        <f>+M35+N35</f>
        <v>82676.379152395675</v>
      </c>
      <c r="J69" s="465"/>
    </row>
    <row r="70" spans="2:15" ht="13.8">
      <c r="B70" s="466" t="s">
        <v>104</v>
      </c>
      <c r="C70" s="155"/>
      <c r="D70" s="24"/>
      <c r="E70" s="462">
        <f>+E43+F43</f>
        <v>0</v>
      </c>
      <c r="F70" s="463">
        <f>+G43+H43</f>
        <v>0</v>
      </c>
      <c r="G70" s="463">
        <f>+I43+J43</f>
        <v>0</v>
      </c>
      <c r="H70" s="463">
        <f>+K43+L43</f>
        <v>0</v>
      </c>
      <c r="I70" s="467">
        <f>+M43+N43</f>
        <v>38133.13615293664</v>
      </c>
      <c r="J70" s="468"/>
    </row>
    <row r="71" spans="2:15" ht="13.8">
      <c r="B71" s="154" t="s">
        <v>66</v>
      </c>
      <c r="C71" s="155"/>
      <c r="D71" s="24"/>
      <c r="E71" s="462">
        <f>+E49+F49</f>
        <v>3312.3524741468141</v>
      </c>
      <c r="F71" s="463">
        <f>+G49+H49</f>
        <v>4694.0172284337332</v>
      </c>
      <c r="G71" s="463">
        <f>+I49+J49</f>
        <v>5118.899968252028</v>
      </c>
      <c r="H71" s="463">
        <f>K49+L49</f>
        <v>5033.4218182468103</v>
      </c>
      <c r="I71" s="464">
        <f>+M49+N49</f>
        <v>4947.9436682415917</v>
      </c>
      <c r="J71" s="465"/>
    </row>
    <row r="72" spans="2:15" ht="13.8">
      <c r="B72" s="154" t="s">
        <v>67</v>
      </c>
      <c r="C72" s="155"/>
      <c r="D72" s="24"/>
      <c r="E72" s="462">
        <f>+E55+F55</f>
        <v>9464.6211739099981</v>
      </c>
      <c r="F72" s="463">
        <f>+G55+H55</f>
        <v>10042.19519808</v>
      </c>
      <c r="G72" s="463">
        <f>+I55+J55</f>
        <v>13237.510785049999</v>
      </c>
      <c r="H72" s="463">
        <f>+K55+L55</f>
        <v>11156.914872019999</v>
      </c>
      <c r="I72" s="464">
        <f>+M55+N55</f>
        <v>11008.249874739999</v>
      </c>
      <c r="J72" s="465"/>
      <c r="M72">
        <f>+E80*1000</f>
        <v>10321162.740994997</v>
      </c>
    </row>
    <row r="73" spans="2:15" ht="13.8">
      <c r="B73" s="154" t="s">
        <v>107</v>
      </c>
      <c r="C73" s="155"/>
      <c r="D73" s="24"/>
      <c r="E73" s="462">
        <f t="shared" ref="E73:E74" si="8">+E56+F56</f>
        <v>6130.8813910599984</v>
      </c>
      <c r="F73" s="463">
        <f t="shared" ref="F73:F74" si="9">+G56+H56</f>
        <v>6540.2763026799994</v>
      </c>
      <c r="G73" s="463">
        <f t="shared" ref="G73:G74" si="10">+I56+J56</f>
        <v>6582.9603243000001</v>
      </c>
      <c r="H73" s="463">
        <f t="shared" ref="H73:H74" si="11">+K56+L56</f>
        <v>6689.3843459199998</v>
      </c>
      <c r="I73" s="464">
        <f>+M56+N56</f>
        <v>6264.3083675399994</v>
      </c>
      <c r="J73" s="465"/>
    </row>
    <row r="74" spans="2:15" ht="13.8">
      <c r="B74" s="154" t="s">
        <v>68</v>
      </c>
      <c r="C74" s="155"/>
      <c r="D74" s="24"/>
      <c r="E74" s="462">
        <f t="shared" si="8"/>
        <v>3333.7397828500002</v>
      </c>
      <c r="F74" s="463">
        <f t="shared" si="9"/>
        <v>3501.9188953999997</v>
      </c>
      <c r="G74" s="463">
        <f t="shared" si="10"/>
        <v>6654.5504607499997</v>
      </c>
      <c r="H74" s="463">
        <f t="shared" si="11"/>
        <v>4467.5305260999994</v>
      </c>
      <c r="I74" s="464">
        <f>+M57+N57</f>
        <v>4743.9415071999993</v>
      </c>
      <c r="J74" s="465"/>
    </row>
    <row r="75" spans="2:15" ht="13.8">
      <c r="B75" s="154"/>
      <c r="C75" s="155"/>
      <c r="D75" s="24"/>
      <c r="E75" s="24"/>
      <c r="F75" s="25"/>
      <c r="G75" s="25"/>
      <c r="H75" s="25"/>
      <c r="I75" s="26"/>
    </row>
    <row r="76" spans="2:15" ht="13.8">
      <c r="B76" s="22" t="s">
        <v>108</v>
      </c>
      <c r="C76" s="156"/>
      <c r="D76" s="23"/>
      <c r="E76" s="27" t="s">
        <v>72</v>
      </c>
      <c r="F76" s="27" t="s">
        <v>109</v>
      </c>
      <c r="G76" s="27" t="s">
        <v>110</v>
      </c>
      <c r="H76" s="27" t="s">
        <v>111</v>
      </c>
      <c r="I76" s="28" t="s">
        <v>112</v>
      </c>
    </row>
    <row r="77" spans="2:15" ht="13.8">
      <c r="B77" s="29" t="s">
        <v>102</v>
      </c>
      <c r="C77" s="157"/>
      <c r="D77" s="24"/>
      <c r="E77" s="462">
        <f>+F35+G35</f>
        <v>48990.764446082387</v>
      </c>
      <c r="F77" s="462">
        <f>+H35+I35</f>
        <v>55590.563511503133</v>
      </c>
      <c r="G77" s="462">
        <f>+J35+K35</f>
        <v>62292.622539656964</v>
      </c>
      <c r="H77" s="462">
        <f>+L35+M35</f>
        <v>74533.199847451819</v>
      </c>
      <c r="I77" s="464"/>
    </row>
    <row r="78" spans="2:15" ht="13.8">
      <c r="B78" s="30" t="s">
        <v>104</v>
      </c>
      <c r="C78" s="157"/>
      <c r="D78" s="24"/>
      <c r="E78" s="462">
        <f>+F43+G43</f>
        <v>0</v>
      </c>
      <c r="F78" s="462">
        <f>+H43+I43</f>
        <v>0</v>
      </c>
      <c r="G78" s="469">
        <f>+J43+K43</f>
        <v>0</v>
      </c>
      <c r="H78" s="469">
        <f>+L43+M43</f>
        <v>19066.56807646832</v>
      </c>
      <c r="I78" s="464"/>
      <c r="J78" s="468"/>
    </row>
    <row r="79" spans="2:15" ht="14.25" customHeight="1">
      <c r="B79" s="29" t="s">
        <v>66</v>
      </c>
      <c r="C79" s="157"/>
      <c r="D79" s="24"/>
      <c r="E79" s="462">
        <f>+F49+G49</f>
        <v>3836.4195751442053</v>
      </c>
      <c r="F79" s="462">
        <f>+H49+I49</f>
        <v>5166.8508799311239</v>
      </c>
      <c r="G79" s="462">
        <f>+J49+K49</f>
        <v>5076.1608932494191</v>
      </c>
      <c r="H79" s="462">
        <f>+L49+M49</f>
        <v>4990.6827432442005</v>
      </c>
      <c r="I79" s="464"/>
      <c r="M79" s="513" t="s">
        <v>281</v>
      </c>
      <c r="N79" s="1234" t="s">
        <v>300</v>
      </c>
      <c r="O79" s="1234" t="s">
        <v>302</v>
      </c>
    </row>
    <row r="80" spans="2:15" ht="13.8">
      <c r="B80" s="29" t="s">
        <v>67</v>
      </c>
      <c r="C80" s="157"/>
      <c r="D80" s="24"/>
      <c r="E80" s="496">
        <f>+F55+G55</f>
        <v>10321.162740994998</v>
      </c>
      <c r="F80" s="496">
        <f>+H55+I55</f>
        <v>13283.252991564999</v>
      </c>
      <c r="G80" s="496">
        <f>+J55+K55</f>
        <v>10508.292828534999</v>
      </c>
      <c r="H80" s="496">
        <f>+L55+M55</f>
        <v>11645.182373379997</v>
      </c>
      <c r="I80" s="464"/>
      <c r="M80" s="514" t="s">
        <v>301</v>
      </c>
      <c r="N80" s="1235"/>
      <c r="O80" s="1235"/>
    </row>
    <row r="81" spans="2:15" ht="13.8">
      <c r="B81" s="154" t="s">
        <v>75</v>
      </c>
      <c r="C81" s="157"/>
      <c r="D81" s="24"/>
      <c r="E81" s="496">
        <f t="shared" ref="E81:E82" si="12">+F56+G56</f>
        <v>6849.8334018699989</v>
      </c>
      <c r="F81" s="496">
        <f t="shared" ref="F81:F82" si="13">+H56+I56</f>
        <v>6969.7483134899994</v>
      </c>
      <c r="G81" s="496">
        <f t="shared" ref="G81:G82" si="14">+J56+K56</f>
        <v>6068.672335109999</v>
      </c>
      <c r="H81" s="496">
        <f>+L56+M56</f>
        <v>6894.196356729999</v>
      </c>
      <c r="I81" s="464"/>
      <c r="J81" s="31"/>
      <c r="M81" s="16">
        <f>+E81*1000</f>
        <v>6849833.4018699992</v>
      </c>
      <c r="N81" s="392">
        <f>+'Julio-Dic 2013'!D134/2</f>
        <v>2123342.73</v>
      </c>
      <c r="O81" s="392">
        <f>+M81-N81</f>
        <v>4726490.6718699988</v>
      </c>
    </row>
    <row r="82" spans="2:15" ht="15">
      <c r="B82" s="470" t="s">
        <v>68</v>
      </c>
      <c r="C82" s="471"/>
      <c r="D82" s="472"/>
      <c r="E82" s="497">
        <f t="shared" si="12"/>
        <v>3471.3293391249999</v>
      </c>
      <c r="F82" s="497">
        <f t="shared" si="13"/>
        <v>6313.5046780749999</v>
      </c>
      <c r="G82" s="497">
        <f t="shared" si="14"/>
        <v>4439.6204934249999</v>
      </c>
      <c r="H82" s="497">
        <f>+L57+M57</f>
        <v>4750.9860166499993</v>
      </c>
      <c r="I82" s="473"/>
      <c r="M82" s="16">
        <f>+E82*1000</f>
        <v>3471329.3391249999</v>
      </c>
      <c r="N82" s="515">
        <f>+'Julio-Dic 2013'!D134/2</f>
        <v>2123342.73</v>
      </c>
      <c r="O82" s="392">
        <f>+M82-N82</f>
        <v>1347986.609125</v>
      </c>
    </row>
    <row r="83" spans="2:15" ht="13.8">
      <c r="B83" s="154"/>
      <c r="C83" s="155"/>
      <c r="D83" s="24"/>
      <c r="E83" s="24"/>
      <c r="F83" s="25"/>
      <c r="G83" s="25"/>
      <c r="H83" s="25"/>
      <c r="I83" s="26"/>
      <c r="N83" s="392">
        <f>+N81+N82</f>
        <v>4246685.46</v>
      </c>
      <c r="O83" s="392"/>
    </row>
    <row r="84" spans="2:15" ht="13.8">
      <c r="B84" s="29" t="s">
        <v>73</v>
      </c>
      <c r="C84" s="155"/>
      <c r="D84" s="24"/>
      <c r="E84" s="474">
        <f>1/(1+$D$11/2)</f>
        <v>0.96697771116375775</v>
      </c>
      <c r="F84" s="475">
        <f>E84/(1+$D$11)</f>
        <v>0.90515558472690982</v>
      </c>
      <c r="G84" s="475">
        <f>F84/(1+$D$11)</f>
        <v>0.84728595406431695</v>
      </c>
      <c r="H84" s="475">
        <f>G84/(1+$D$11)</f>
        <v>0.79311612287214917</v>
      </c>
      <c r="I84" s="476"/>
      <c r="M84" s="3"/>
      <c r="N84" s="3"/>
      <c r="O84" s="3"/>
    </row>
    <row r="85" spans="2:15" ht="14.4" thickBot="1">
      <c r="B85" s="158"/>
      <c r="C85" s="159"/>
      <c r="D85" s="160"/>
      <c r="E85" s="160"/>
      <c r="F85" s="161"/>
      <c r="G85" s="161"/>
      <c r="H85" s="161"/>
      <c r="I85" s="162"/>
      <c r="K85" s="3"/>
      <c r="M85" s="3"/>
      <c r="N85" s="3"/>
      <c r="O85" s="3"/>
    </row>
    <row r="86" spans="2:15" ht="13.8">
      <c r="B86" s="32" t="s">
        <v>278</v>
      </c>
      <c r="C86" s="163"/>
      <c r="D86" s="33" t="s">
        <v>74</v>
      </c>
      <c r="E86" s="34"/>
      <c r="F86" s="35"/>
      <c r="G86" s="34"/>
      <c r="H86" s="36"/>
      <c r="I86" s="37"/>
      <c r="M86" s="38"/>
      <c r="N86" s="38"/>
      <c r="O86" s="38"/>
    </row>
    <row r="87" spans="2:15" ht="13.8">
      <c r="B87" s="29" t="s">
        <v>102</v>
      </c>
      <c r="C87" s="155"/>
      <c r="D87" s="477">
        <f>SUM(E87:H87)</f>
        <v>209584.23290073627</v>
      </c>
      <c r="E87" s="39">
        <f>+E$84*E77</f>
        <v>47372.977272235548</v>
      </c>
      <c r="F87" s="39">
        <f>+F$84*F77</f>
        <v>50318.109020553034</v>
      </c>
      <c r="G87" s="39">
        <f t="shared" ref="G87:I87" si="15">+G$84*G77</f>
        <v>52779.664119681627</v>
      </c>
      <c r="H87" s="39">
        <f t="shared" si="15"/>
        <v>59113.482488266047</v>
      </c>
      <c r="I87" s="40">
        <f t="shared" si="15"/>
        <v>0</v>
      </c>
      <c r="M87" s="41"/>
      <c r="N87" s="41"/>
      <c r="O87" s="41"/>
    </row>
    <row r="88" spans="2:15" ht="14.4">
      <c r="B88" s="164" t="s">
        <v>113</v>
      </c>
      <c r="C88" s="155"/>
      <c r="D88" s="478">
        <f t="shared" ref="D88:D91" si="16">SUM(E88:H88)</f>
        <v>179246.913861443</v>
      </c>
      <c r="E88" s="42">
        <f>+E87*[23]ACTIVOS!$G$172/[23]ACTIVOS!$G$174</f>
        <v>40515.738512153468</v>
      </c>
      <c r="F88" s="42">
        <f>+F87*[23]ACTIVOS!$G$172/[23]ACTIVOS!$G$174</f>
        <v>43034.562421255898</v>
      </c>
      <c r="G88" s="42">
        <f>+G87*[23]ACTIVOS!$G$172/[23]ACTIVOS!$G$174</f>
        <v>45139.807404201121</v>
      </c>
      <c r="H88" s="42">
        <f>+H87*[23]ACTIVOS!$G$172/[23]ACTIVOS!$G$174</f>
        <v>50556.805523832518</v>
      </c>
      <c r="I88" s="40"/>
      <c r="M88" s="41"/>
      <c r="N88" s="41"/>
      <c r="O88" s="41"/>
    </row>
    <row r="89" spans="2:15" ht="14.4">
      <c r="B89" s="164" t="s">
        <v>114</v>
      </c>
      <c r="C89" s="155"/>
      <c r="D89" s="478">
        <f t="shared" si="16"/>
        <v>30337.319039293267</v>
      </c>
      <c r="E89" s="42">
        <f>+E87*[23]ACTIVOS!$G$173/[23]ACTIVOS!$G$174</f>
        <v>6857.2387600820803</v>
      </c>
      <c r="F89" s="42">
        <f>+F87*[23]ACTIVOS!$G$173/[23]ACTIVOS!$G$174</f>
        <v>7283.5465992971422</v>
      </c>
      <c r="G89" s="42">
        <f>+G87*[23]ACTIVOS!$G$173/[23]ACTIVOS!$G$174</f>
        <v>7639.8567154805087</v>
      </c>
      <c r="H89" s="42">
        <f>+H87*[23]ACTIVOS!$G$173/[23]ACTIVOS!$G$174</f>
        <v>8556.6769644335345</v>
      </c>
      <c r="I89" s="40"/>
      <c r="K89" s="479"/>
      <c r="M89" s="41"/>
      <c r="N89" s="41"/>
      <c r="O89" s="41"/>
    </row>
    <row r="90" spans="2:15" ht="13.5" customHeight="1">
      <c r="B90" s="30" t="s">
        <v>104</v>
      </c>
      <c r="C90" s="155"/>
      <c r="D90" s="480"/>
      <c r="E90" s="39"/>
      <c r="F90" s="39"/>
      <c r="G90" s="39"/>
      <c r="H90" s="39"/>
      <c r="I90" s="40"/>
      <c r="M90" s="41"/>
      <c r="N90" s="41"/>
      <c r="O90" s="41"/>
    </row>
    <row r="91" spans="2:15" ht="13.8">
      <c r="B91" s="164" t="s">
        <v>115</v>
      </c>
      <c r="C91" s="155"/>
      <c r="D91" s="480">
        <f t="shared" si="16"/>
        <v>15122.002549286444</v>
      </c>
      <c r="E91" s="39">
        <f>+E78*E84</f>
        <v>0</v>
      </c>
      <c r="F91" s="39">
        <f t="shared" ref="F91:H91" si="17">+F78*F84</f>
        <v>0</v>
      </c>
      <c r="G91" s="39">
        <f t="shared" si="17"/>
        <v>0</v>
      </c>
      <c r="H91" s="39">
        <f t="shared" si="17"/>
        <v>15122.002549286444</v>
      </c>
      <c r="I91" s="40"/>
      <c r="K91" s="479"/>
      <c r="M91" s="41"/>
      <c r="N91" s="41"/>
      <c r="O91" s="41"/>
    </row>
    <row r="92" spans="2:15" ht="13.8">
      <c r="B92" s="29" t="s">
        <v>66</v>
      </c>
      <c r="C92" s="155"/>
      <c r="D92" s="480">
        <f>SUM(E92:H92)</f>
        <v>16645.686922485176</v>
      </c>
      <c r="E92" s="43">
        <f>+E$84*E79</f>
        <v>3709.7322198367797</v>
      </c>
      <c r="F92" s="43">
        <f>+F$84*F79</f>
        <v>4676.8039294208047</v>
      </c>
      <c r="G92" s="43">
        <f>+G$84*G79</f>
        <v>4300.9598254208095</v>
      </c>
      <c r="H92" s="43">
        <f>+H$84*H79</f>
        <v>3958.1909478067819</v>
      </c>
      <c r="I92" s="40">
        <f>+I$84*I79</f>
        <v>0</v>
      </c>
      <c r="K92" s="3"/>
      <c r="M92" s="44"/>
      <c r="N92" s="44"/>
      <c r="O92" s="44"/>
    </row>
    <row r="93" spans="2:15" ht="13.8">
      <c r="B93" s="29" t="s">
        <v>67</v>
      </c>
      <c r="C93" s="155"/>
      <c r="D93" s="480">
        <f>SUM(E93:H93)</f>
        <v>40143.255761418222</v>
      </c>
      <c r="E93" s="43">
        <f>+E94+E95</f>
        <v>9980.3343238359994</v>
      </c>
      <c r="F93" s="43">
        <f>+F94+F95</f>
        <v>12023.410628655491</v>
      </c>
      <c r="G93" s="43">
        <f>+G94+G95</f>
        <v>8903.5289148124957</v>
      </c>
      <c r="H93" s="43">
        <f>+H94+H95</f>
        <v>9235.9818941142366</v>
      </c>
      <c r="I93" s="40">
        <f>+I94+I95</f>
        <v>0</v>
      </c>
      <c r="M93" s="165"/>
      <c r="N93" s="165"/>
      <c r="O93" s="165"/>
    </row>
    <row r="94" spans="2:15" ht="13.8">
      <c r="B94" s="164" t="s">
        <v>75</v>
      </c>
      <c r="C94" s="155"/>
      <c r="D94" s="462">
        <f>SUM(E94:H94)</f>
        <v>23542.141949016135</v>
      </c>
      <c r="E94" s="43">
        <f t="shared" ref="E94:I95" si="18">+E$84*E81</f>
        <v>6623.6362247933075</v>
      </c>
      <c r="F94" s="43">
        <f t="shared" si="18"/>
        <v>6308.7066100964339</v>
      </c>
      <c r="G94" s="43">
        <f t="shared" si="18"/>
        <v>5141.9008293574016</v>
      </c>
      <c r="H94" s="43">
        <f t="shared" si="18"/>
        <v>5467.8982847689931</v>
      </c>
      <c r="I94" s="40">
        <f t="shared" si="18"/>
        <v>0</v>
      </c>
      <c r="K94" s="3"/>
      <c r="M94" s="166"/>
      <c r="N94" s="166"/>
      <c r="O94" s="166"/>
    </row>
    <row r="95" spans="2:15" ht="13.8">
      <c r="B95" s="164" t="s">
        <v>68</v>
      </c>
      <c r="C95" s="155"/>
      <c r="D95" s="462">
        <f>SUM(E95:H95)</f>
        <v>16601.113812402087</v>
      </c>
      <c r="E95" s="43">
        <f t="shared" si="18"/>
        <v>3356.6980990426923</v>
      </c>
      <c r="F95" s="43">
        <f t="shared" si="18"/>
        <v>5714.7040185590567</v>
      </c>
      <c r="G95" s="43">
        <f t="shared" si="18"/>
        <v>3761.6280854550946</v>
      </c>
      <c r="H95" s="43">
        <f t="shared" si="18"/>
        <v>3768.0836093452435</v>
      </c>
      <c r="I95" s="40">
        <f t="shared" si="18"/>
        <v>0</v>
      </c>
    </row>
    <row r="96" spans="2:15" ht="14.4" thickBot="1">
      <c r="B96" s="45" t="s">
        <v>2</v>
      </c>
      <c r="C96" s="159"/>
      <c r="D96" s="481">
        <f>D87+D91+D92+D93</f>
        <v>281495.17813392612</v>
      </c>
      <c r="E96" s="46">
        <f>E87+E91+E92+E93</f>
        <v>61063.043815908328</v>
      </c>
      <c r="F96" s="46">
        <f t="shared" ref="F96:H96" si="19">F87+F91+F92+F93</f>
        <v>67018.323578629337</v>
      </c>
      <c r="G96" s="46">
        <f t="shared" si="19"/>
        <v>65984.152859914931</v>
      </c>
      <c r="H96" s="46">
        <f t="shared" si="19"/>
        <v>87429.657879473496</v>
      </c>
      <c r="I96" s="47">
        <f>I87+I92+I93</f>
        <v>0</v>
      </c>
      <c r="K96" s="16"/>
      <c r="M96" s="48"/>
      <c r="N96" s="48"/>
      <c r="O96" s="48"/>
    </row>
    <row r="97" spans="1:15">
      <c r="B97" s="9"/>
      <c r="C97" s="10"/>
      <c r="D97" s="49"/>
      <c r="E97" s="50"/>
      <c r="F97" s="10"/>
      <c r="G97" s="50"/>
      <c r="H97" s="50"/>
      <c r="I97" s="50"/>
      <c r="K97" s="3"/>
    </row>
    <row r="98" spans="1:15">
      <c r="B98" s="10" t="s">
        <v>116</v>
      </c>
      <c r="C98" s="10"/>
      <c r="D98" s="10"/>
      <c r="E98" s="10"/>
      <c r="F98" s="10"/>
      <c r="G98" s="10"/>
      <c r="H98" s="10"/>
      <c r="I98" s="49"/>
      <c r="K98" s="417"/>
    </row>
    <row r="99" spans="1:15">
      <c r="B99" s="129" t="s">
        <v>117</v>
      </c>
      <c r="C99" s="10"/>
      <c r="D99" s="10"/>
      <c r="E99" s="49"/>
      <c r="F99" s="49"/>
      <c r="G99" s="49"/>
      <c r="H99" s="49"/>
      <c r="I99" s="49"/>
      <c r="K99" s="417"/>
    </row>
    <row r="100" spans="1:15" ht="13.8" thickBot="1">
      <c r="D100" s="482"/>
      <c r="E100" s="3"/>
      <c r="F100" t="s">
        <v>118</v>
      </c>
    </row>
    <row r="101" spans="1:15">
      <c r="F101" s="51" t="s">
        <v>119</v>
      </c>
      <c r="G101" s="52" t="s">
        <v>120</v>
      </c>
      <c r="H101" s="52" t="s">
        <v>121</v>
      </c>
      <c r="I101" s="53" t="s">
        <v>122</v>
      </c>
    </row>
    <row r="102" spans="1:15" ht="21" customHeight="1" thickBot="1">
      <c r="B102" s="1236" t="s">
        <v>123</v>
      </c>
      <c r="C102" s="1237"/>
      <c r="F102" s="167">
        <f>+E84</f>
        <v>0.96697771116375775</v>
      </c>
      <c r="G102" s="168">
        <f>+F84</f>
        <v>0.90515558472690982</v>
      </c>
      <c r="H102" s="168">
        <f>+G84</f>
        <v>0.84728595406431695</v>
      </c>
      <c r="I102" s="169">
        <f>+H84</f>
        <v>0.79311612287214917</v>
      </c>
      <c r="M102" s="1233"/>
      <c r="N102" s="1233"/>
      <c r="O102" s="1233"/>
    </row>
    <row r="103" spans="1:15" ht="18.75" customHeight="1">
      <c r="B103" s="54" t="s">
        <v>124</v>
      </c>
      <c r="C103" s="55">
        <f>+D92</f>
        <v>16645.686922485176</v>
      </c>
      <c r="D103" s="170"/>
      <c r="E103" s="170"/>
      <c r="F103" s="170"/>
      <c r="G103" s="170"/>
      <c r="M103" s="417"/>
      <c r="N103" s="417"/>
      <c r="O103" s="417"/>
    </row>
    <row r="104" spans="1:15" ht="18.75" customHeight="1">
      <c r="B104" s="54" t="s">
        <v>125</v>
      </c>
      <c r="C104" s="55">
        <f>+G108*F102+H108*G102+I108*H102+J108*I102</f>
        <v>31513.967950703587</v>
      </c>
      <c r="D104" s="170"/>
      <c r="E104" s="170"/>
      <c r="F104" s="170"/>
      <c r="G104" s="171">
        <v>2013</v>
      </c>
      <c r="H104" s="56">
        <v>2014</v>
      </c>
      <c r="I104" s="171">
        <v>2015</v>
      </c>
      <c r="J104" s="56">
        <v>2016</v>
      </c>
      <c r="K104" s="171">
        <v>2017</v>
      </c>
      <c r="M104" s="417"/>
      <c r="N104" s="417"/>
      <c r="O104" s="417"/>
    </row>
    <row r="105" spans="1:15" ht="21" customHeight="1">
      <c r="B105" s="57" t="s">
        <v>126</v>
      </c>
      <c r="C105" s="58">
        <f>+C103/C104</f>
        <v>0.52820028720355228</v>
      </c>
      <c r="D105" s="170"/>
      <c r="E105" s="170"/>
      <c r="F105" s="56" t="s">
        <v>127</v>
      </c>
      <c r="G105" s="59"/>
      <c r="H105" s="59"/>
      <c r="I105" s="59"/>
      <c r="J105" s="59"/>
      <c r="K105" s="59"/>
      <c r="M105" s="417"/>
      <c r="N105" s="417"/>
      <c r="O105" s="417"/>
    </row>
    <row r="106" spans="1:15">
      <c r="D106" s="170"/>
      <c r="E106" s="170"/>
      <c r="M106" s="417"/>
      <c r="N106" s="417"/>
      <c r="O106" s="417"/>
    </row>
    <row r="107" spans="1:15">
      <c r="G107" s="172" t="s">
        <v>72</v>
      </c>
      <c r="H107" s="56" t="s">
        <v>109</v>
      </c>
      <c r="I107" s="56" t="s">
        <v>110</v>
      </c>
      <c r="J107" s="56" t="s">
        <v>111</v>
      </c>
      <c r="K107" s="41"/>
      <c r="L107" s="41"/>
      <c r="M107" s="41"/>
      <c r="N107" s="41"/>
      <c r="O107" s="41"/>
    </row>
    <row r="108" spans="1:15">
      <c r="F108" s="56" t="s">
        <v>127</v>
      </c>
      <c r="G108" s="59">
        <f>+F50+F51+G50+G51+(D24/2+E31)*$D$11+(E24/2+F30)*$D$11+(D24/2+E31)*3%+(E24/2+F30)*3%</f>
        <v>7969.7178059450098</v>
      </c>
      <c r="H108" s="59">
        <f>+H50+H51+I50+I51+(E24/2+F31)*$D$11+(F24/2+G30)*$D$11+(E24/2+F31)*3%+(F24/2+G30)*3%</f>
        <v>9352.5394559450069</v>
      </c>
      <c r="I108" s="59">
        <f>+J50+J51+K50+K51+(F24/2+G31)*$D$11+(G24/2+H30)*$D$11+(F24/2+G31)*3%+(G24/2+H30)*3%</f>
        <v>9352.5394559450069</v>
      </c>
      <c r="J108" s="59">
        <f>+L50+L51+M50+M51+(G24/2+H31)*$D$11+(H24/2+I30)*$D$11+(G24/2+H31)*3%+(H24/2+I30)*3%</f>
        <v>9352.5394559450069</v>
      </c>
      <c r="K108" s="41"/>
      <c r="L108" s="41"/>
      <c r="M108" s="41"/>
      <c r="N108" s="41"/>
      <c r="O108" s="41"/>
    </row>
    <row r="109" spans="1:15">
      <c r="A109" s="483"/>
      <c r="B109" s="483"/>
      <c r="C109" s="483"/>
      <c r="D109" s="483"/>
      <c r="E109" s="483"/>
      <c r="F109" s="483"/>
      <c r="G109" s="483"/>
      <c r="H109" s="483"/>
      <c r="I109" s="483"/>
      <c r="J109" s="484"/>
      <c r="K109" s="484"/>
      <c r="L109" s="484"/>
      <c r="M109" s="484"/>
      <c r="N109" s="484"/>
      <c r="O109" s="484"/>
    </row>
    <row r="110" spans="1:15">
      <c r="E110" s="16"/>
      <c r="J110" s="41"/>
      <c r="K110" s="41"/>
      <c r="L110" s="41"/>
      <c r="M110" s="41"/>
      <c r="N110" s="41"/>
      <c r="O110" s="41"/>
    </row>
    <row r="111" spans="1:15">
      <c r="B111" s="149" t="s">
        <v>255</v>
      </c>
      <c r="C111">
        <f>73-58</f>
        <v>15</v>
      </c>
      <c r="J111" s="41"/>
      <c r="K111" s="41"/>
      <c r="L111" s="41"/>
      <c r="M111" s="41"/>
      <c r="N111" s="41"/>
      <c r="O111" s="41"/>
    </row>
    <row r="112" spans="1:15">
      <c r="D112" s="16"/>
      <c r="I112" s="48"/>
      <c r="J112" s="41"/>
      <c r="K112" s="41"/>
      <c r="L112" s="41"/>
      <c r="M112" s="41"/>
      <c r="N112" s="41"/>
      <c r="O112" s="41"/>
    </row>
    <row r="113" spans="2:9" ht="13.8" thickBot="1"/>
    <row r="114" spans="2:9">
      <c r="B114" s="11" t="s">
        <v>41</v>
      </c>
      <c r="C114" s="60" t="s">
        <v>42</v>
      </c>
      <c r="D114" s="60">
        <v>2008</v>
      </c>
      <c r="E114" s="12">
        <v>2009</v>
      </c>
      <c r="F114" s="60">
        <v>2010</v>
      </c>
      <c r="G114" s="60">
        <v>2011</v>
      </c>
      <c r="H114" s="60">
        <v>2012</v>
      </c>
      <c r="I114" s="61">
        <v>2013</v>
      </c>
    </row>
    <row r="115" spans="2:9">
      <c r="B115" s="62" t="s">
        <v>43</v>
      </c>
      <c r="C115" s="63" t="s">
        <v>44</v>
      </c>
      <c r="D115" s="173"/>
      <c r="E115" s="173">
        <v>1.4195243750092958E-2</v>
      </c>
      <c r="F115" s="173">
        <v>1.4195243750092958E-2</v>
      </c>
      <c r="G115" s="173">
        <v>1.4195243750092958E-2</v>
      </c>
      <c r="H115" s="173">
        <v>1.4195243750092958E-2</v>
      </c>
      <c r="I115" s="174">
        <v>1.4195243750092958E-2</v>
      </c>
    </row>
    <row r="116" spans="2:9">
      <c r="B116" s="175" t="s">
        <v>45</v>
      </c>
      <c r="C116" s="64" t="s">
        <v>44</v>
      </c>
      <c r="D116" s="176"/>
      <c r="E116" s="176">
        <v>7.6435927885115966E-3</v>
      </c>
      <c r="F116" s="176">
        <v>7.6435927885115966E-3</v>
      </c>
      <c r="G116" s="176">
        <v>7.6435927885115966E-3</v>
      </c>
      <c r="H116" s="176">
        <v>7.6435927885115966E-3</v>
      </c>
      <c r="I116" s="177">
        <v>7.6435927885115966E-3</v>
      </c>
    </row>
    <row r="117" spans="2:9">
      <c r="B117" s="65" t="s">
        <v>46</v>
      </c>
      <c r="C117" s="66" t="s">
        <v>44</v>
      </c>
      <c r="D117" s="178">
        <v>0.1071</v>
      </c>
      <c r="E117" s="179">
        <v>2.1838836538604554E-2</v>
      </c>
      <c r="F117" s="179">
        <v>2.1838836538604554E-2</v>
      </c>
      <c r="G117" s="179">
        <v>2.1838836538604554E-2</v>
      </c>
      <c r="H117" s="179">
        <v>2.1838836538604554E-2</v>
      </c>
      <c r="I117" s="180">
        <v>2.1838836538604554E-2</v>
      </c>
    </row>
    <row r="118" spans="2:9">
      <c r="B118" s="67" t="s">
        <v>47</v>
      </c>
      <c r="C118" s="64"/>
      <c r="D118" s="64"/>
      <c r="E118" s="68"/>
      <c r="F118" s="68"/>
      <c r="G118" s="68"/>
      <c r="H118" s="69"/>
      <c r="I118" s="181"/>
    </row>
    <row r="119" spans="2:9">
      <c r="B119" s="70" t="s">
        <v>48</v>
      </c>
      <c r="C119" s="64" t="s">
        <v>49</v>
      </c>
      <c r="D119" s="422">
        <v>287823.22474260518</v>
      </c>
      <c r="E119" s="422">
        <v>317368.79106403381</v>
      </c>
      <c r="F119" s="422">
        <v>324627.4130175598</v>
      </c>
      <c r="G119" s="422">
        <v>361039.66187036497</v>
      </c>
      <c r="H119" s="422">
        <v>387471.66187036497</v>
      </c>
      <c r="I119" s="485">
        <v>388263.66187036497</v>
      </c>
    </row>
    <row r="120" spans="2:9">
      <c r="B120" s="70" t="s">
        <v>50</v>
      </c>
      <c r="C120" s="64" t="s">
        <v>49</v>
      </c>
      <c r="D120" s="422">
        <v>23032.303161225453</v>
      </c>
      <c r="E120" s="422">
        <v>23032.303161225453</v>
      </c>
      <c r="F120" s="422">
        <v>23032.303161225453</v>
      </c>
      <c r="G120" s="422">
        <v>36259.303161225456</v>
      </c>
      <c r="H120" s="422">
        <v>43187.303161225456</v>
      </c>
      <c r="I120" s="485">
        <v>43187.303161225456</v>
      </c>
    </row>
    <row r="121" spans="2:9">
      <c r="B121" s="70" t="s">
        <v>51</v>
      </c>
      <c r="C121" s="64" t="s">
        <v>49</v>
      </c>
      <c r="D121" s="422">
        <v>2000.9</v>
      </c>
      <c r="E121" s="422">
        <v>2000.9</v>
      </c>
      <c r="F121" s="422">
        <v>2000.9</v>
      </c>
      <c r="G121" s="422">
        <v>2000.9</v>
      </c>
      <c r="H121" s="422">
        <v>2000.9</v>
      </c>
      <c r="I121" s="485">
        <v>2000.9</v>
      </c>
    </row>
    <row r="122" spans="2:9">
      <c r="B122" s="70" t="s">
        <v>52</v>
      </c>
      <c r="C122" s="64" t="s">
        <v>49</v>
      </c>
      <c r="D122" s="422">
        <v>173831.96291572356</v>
      </c>
      <c r="E122" s="422">
        <v>194289.63456082254</v>
      </c>
      <c r="F122" s="422">
        <v>191048.37460614389</v>
      </c>
      <c r="G122" s="422">
        <v>217250.31563437084</v>
      </c>
      <c r="H122" s="422">
        <v>231739.0052868487</v>
      </c>
      <c r="I122" s="485">
        <v>219971.35993932659</v>
      </c>
    </row>
    <row r="123" spans="2:9">
      <c r="B123" s="70" t="s">
        <v>53</v>
      </c>
      <c r="C123" s="64" t="s">
        <v>49</v>
      </c>
      <c r="D123" s="422">
        <v>11189.651451084055</v>
      </c>
      <c r="E123" s="422">
        <v>10597.665134563566</v>
      </c>
      <c r="F123" s="422">
        <v>10005.678818043076</v>
      </c>
      <c r="G123" s="422">
        <v>22427.927729634444</v>
      </c>
      <c r="H123" s="422">
        <v>28268.215585062309</v>
      </c>
      <c r="I123" s="485">
        <v>27071.579268541824</v>
      </c>
    </row>
    <row r="124" spans="2:9">
      <c r="B124" s="70" t="s">
        <v>54</v>
      </c>
      <c r="C124" s="64" t="s">
        <v>49</v>
      </c>
      <c r="D124" s="422">
        <v>549.3154999999997</v>
      </c>
      <c r="E124" s="422">
        <v>479.28399999999965</v>
      </c>
      <c r="F124" s="422">
        <v>409.2524999999996</v>
      </c>
      <c r="G124" s="422">
        <v>339.22099999999955</v>
      </c>
      <c r="H124" s="422">
        <v>269.1894999999995</v>
      </c>
      <c r="I124" s="485">
        <v>199.15799999999945</v>
      </c>
    </row>
    <row r="125" spans="2:9">
      <c r="B125" s="71" t="s">
        <v>55</v>
      </c>
      <c r="C125" s="64"/>
      <c r="D125" s="64"/>
      <c r="E125" s="68"/>
      <c r="F125" s="68"/>
      <c r="G125" s="68"/>
      <c r="H125" s="68"/>
      <c r="I125" s="181"/>
    </row>
    <row r="126" spans="2:9">
      <c r="B126" s="70" t="s">
        <v>56</v>
      </c>
      <c r="C126" s="64" t="s">
        <v>49</v>
      </c>
      <c r="D126" s="422">
        <v>424886.69183745852</v>
      </c>
      <c r="E126" s="422">
        <v>456675.17482555378</v>
      </c>
      <c r="F126" s="422">
        <v>469585.88011241314</v>
      </c>
      <c r="G126" s="422">
        <v>510048.12896521832</v>
      </c>
      <c r="H126" s="422">
        <v>536480.12896521832</v>
      </c>
      <c r="I126" s="485">
        <v>537272.12896521832</v>
      </c>
    </row>
    <row r="127" spans="2:9">
      <c r="B127" s="70" t="s">
        <v>57</v>
      </c>
      <c r="C127" s="64" t="s">
        <v>49</v>
      </c>
      <c r="D127" s="422">
        <v>31847.854297104881</v>
      </c>
      <c r="E127" s="422">
        <v>31847.854297104881</v>
      </c>
      <c r="F127" s="422">
        <v>31847.854297104881</v>
      </c>
      <c r="G127" s="422">
        <v>45074.854297104881</v>
      </c>
      <c r="H127" s="422">
        <v>52002.854297104881</v>
      </c>
      <c r="I127" s="485">
        <v>52002.854297104881</v>
      </c>
    </row>
    <row r="128" spans="2:9">
      <c r="B128" s="71" t="s">
        <v>58</v>
      </c>
      <c r="C128" s="64"/>
      <c r="D128" s="64"/>
      <c r="E128" s="68"/>
      <c r="F128" s="68"/>
      <c r="G128" s="68"/>
      <c r="H128" s="68"/>
      <c r="I128" s="181"/>
    </row>
    <row r="129" spans="2:15">
      <c r="B129" s="70" t="s">
        <v>56</v>
      </c>
      <c r="C129" s="64" t="s">
        <v>49</v>
      </c>
      <c r="D129" s="486" t="s">
        <v>59</v>
      </c>
      <c r="E129" s="422">
        <v>17520.674741071463</v>
      </c>
      <c r="F129" s="422">
        <v>609.58333333333337</v>
      </c>
      <c r="G129" s="422">
        <v>19154.5</v>
      </c>
      <c r="H129" s="422">
        <v>13267.000000000002</v>
      </c>
      <c r="I129" s="485">
        <v>0</v>
      </c>
    </row>
    <row r="130" spans="2:15" ht="13.8" thickBot="1">
      <c r="B130" s="72" t="s">
        <v>57</v>
      </c>
      <c r="C130" s="73" t="s">
        <v>49</v>
      </c>
      <c r="D130" s="487" t="s">
        <v>59</v>
      </c>
      <c r="E130" s="488">
        <v>0</v>
      </c>
      <c r="F130" s="488">
        <v>0</v>
      </c>
      <c r="G130" s="488">
        <v>8278</v>
      </c>
      <c r="H130" s="488">
        <v>3848.5</v>
      </c>
      <c r="I130" s="489">
        <v>0</v>
      </c>
    </row>
    <row r="131" spans="2:15" ht="13.8" thickBot="1"/>
    <row r="132" spans="2:15">
      <c r="B132" s="74" t="s">
        <v>60</v>
      </c>
      <c r="C132" s="75"/>
      <c r="D132" s="76">
        <v>2008</v>
      </c>
      <c r="E132" s="77">
        <v>2009</v>
      </c>
      <c r="F132" s="76">
        <v>2010</v>
      </c>
      <c r="G132" s="76">
        <v>2011</v>
      </c>
      <c r="H132" s="76">
        <v>2012</v>
      </c>
      <c r="I132" s="78">
        <v>2013</v>
      </c>
      <c r="J132" s="41"/>
      <c r="K132" s="41"/>
      <c r="L132" s="41"/>
      <c r="M132" s="41"/>
      <c r="N132" s="41"/>
      <c r="O132" s="41"/>
    </row>
    <row r="133" spans="2:15">
      <c r="B133" s="79"/>
      <c r="C133" s="80"/>
      <c r="D133" s="80"/>
      <c r="E133" s="81"/>
      <c r="F133" s="82"/>
      <c r="G133" s="82"/>
      <c r="H133" s="82"/>
      <c r="I133" s="83"/>
      <c r="K133" s="3"/>
      <c r="M133" s="182"/>
      <c r="N133" s="182"/>
      <c r="O133" s="182"/>
    </row>
    <row r="134" spans="2:15">
      <c r="B134" s="19" t="s">
        <v>61</v>
      </c>
      <c r="C134" s="84"/>
      <c r="D134" s="84"/>
      <c r="E134" s="430">
        <v>39243.424331555376</v>
      </c>
      <c r="F134" s="430">
        <v>41360.155229695963</v>
      </c>
      <c r="G134" s="430">
        <v>43396.556965986703</v>
      </c>
      <c r="H134" s="430">
        <v>48060.308411613427</v>
      </c>
      <c r="I134" s="431">
        <v>49094.994656424533</v>
      </c>
    </row>
    <row r="135" spans="2:15">
      <c r="B135" s="175" t="s">
        <v>62</v>
      </c>
      <c r="C135" s="64" t="s">
        <v>49</v>
      </c>
      <c r="D135" s="85"/>
      <c r="E135" s="490">
        <v>6280.0804054189621</v>
      </c>
      <c r="F135" s="490">
        <v>6491.2686052677118</v>
      </c>
      <c r="G135" s="490">
        <v>6937.788826208789</v>
      </c>
      <c r="H135" s="490">
        <v>7428.5858137726054</v>
      </c>
      <c r="I135" s="491">
        <v>7615.4661977425794</v>
      </c>
      <c r="M135" s="48"/>
      <c r="N135" s="48"/>
      <c r="O135" s="48"/>
    </row>
    <row r="136" spans="2:15">
      <c r="B136" s="175" t="s">
        <v>63</v>
      </c>
      <c r="C136" s="64" t="s">
        <v>49</v>
      </c>
      <c r="D136" s="85"/>
      <c r="E136" s="490">
        <v>3381.5817567640584</v>
      </c>
      <c r="F136" s="490">
        <v>3495.2984797595391</v>
      </c>
      <c r="G136" s="490">
        <v>3735.7324448816576</v>
      </c>
      <c r="H136" s="490">
        <v>4000.007745877559</v>
      </c>
      <c r="I136" s="491">
        <v>4100.6356449383138</v>
      </c>
      <c r="K136" s="3"/>
    </row>
    <row r="137" spans="2:15">
      <c r="B137" s="175" t="s">
        <v>64</v>
      </c>
      <c r="C137" s="64" t="s">
        <v>49</v>
      </c>
      <c r="D137" s="85"/>
      <c r="E137" s="422">
        <v>9087.8946763296135</v>
      </c>
      <c r="F137" s="422">
        <v>10499.881908204616</v>
      </c>
      <c r="G137" s="422">
        <v>10210.307824578251</v>
      </c>
      <c r="H137" s="422">
        <v>11943.310347522145</v>
      </c>
      <c r="I137" s="485">
        <v>12559.645347522148</v>
      </c>
      <c r="K137" s="417"/>
    </row>
    <row r="138" spans="2:15">
      <c r="B138" s="175" t="s">
        <v>65</v>
      </c>
      <c r="C138" s="64" t="s">
        <v>49</v>
      </c>
      <c r="D138" s="85"/>
      <c r="E138" s="490">
        <v>20493.867493042748</v>
      </c>
      <c r="F138" s="490">
        <v>20873.706236464095</v>
      </c>
      <c r="G138" s="490">
        <v>22512.727870318009</v>
      </c>
      <c r="H138" s="490">
        <v>24688.404504441118</v>
      </c>
      <c r="I138" s="491">
        <v>24819.247466221495</v>
      </c>
      <c r="K138" s="417"/>
    </row>
    <row r="139" spans="2:15">
      <c r="B139" s="118"/>
      <c r="C139" s="85"/>
      <c r="D139" s="85"/>
      <c r="E139" s="183"/>
      <c r="F139" s="183"/>
      <c r="G139" s="183"/>
      <c r="H139" s="183"/>
      <c r="I139" s="184"/>
      <c r="K139" s="417"/>
    </row>
    <row r="140" spans="2:15">
      <c r="B140" s="19" t="s">
        <v>66</v>
      </c>
      <c r="C140" s="84"/>
      <c r="D140" s="84"/>
      <c r="E140" s="430">
        <v>2485.9180710313603</v>
      </c>
      <c r="F140" s="430">
        <v>2422.5163365320159</v>
      </c>
      <c r="G140" s="430">
        <v>3639.2350627873798</v>
      </c>
      <c r="H140" s="430">
        <v>4970.3466918306931</v>
      </c>
      <c r="I140" s="431">
        <v>5359.8440402160068</v>
      </c>
      <c r="K140" s="417"/>
    </row>
    <row r="141" spans="2:15">
      <c r="B141" s="175" t="s">
        <v>62</v>
      </c>
      <c r="C141" s="64" t="s">
        <v>49</v>
      </c>
      <c r="D141" s="85"/>
      <c r="E141" s="422">
        <v>452.08805466484921</v>
      </c>
      <c r="F141" s="422">
        <v>452.08805466484921</v>
      </c>
      <c r="G141" s="422">
        <v>569.59628242811868</v>
      </c>
      <c r="H141" s="422">
        <v>694.4789393195615</v>
      </c>
      <c r="I141" s="485">
        <v>738.19319244797282</v>
      </c>
    </row>
    <row r="142" spans="2:15">
      <c r="B142" s="175" t="s">
        <v>63</v>
      </c>
      <c r="C142" s="64" t="s">
        <v>49</v>
      </c>
      <c r="D142" s="85"/>
      <c r="E142" s="422">
        <v>243.43202943491892</v>
      </c>
      <c r="F142" s="422">
        <v>243.43202943491892</v>
      </c>
      <c r="G142" s="422">
        <v>306.70569053821794</v>
      </c>
      <c r="H142" s="422">
        <v>373.95019809514872</v>
      </c>
      <c r="I142" s="485">
        <v>397.48864208737018</v>
      </c>
    </row>
    <row r="143" spans="2:15">
      <c r="B143" s="175" t="s">
        <v>64</v>
      </c>
      <c r="C143" s="64" t="s">
        <v>49</v>
      </c>
      <c r="D143" s="85"/>
      <c r="E143" s="422">
        <v>591.98631652049005</v>
      </c>
      <c r="F143" s="422">
        <v>591.98631652049005</v>
      </c>
      <c r="G143" s="422">
        <v>804.75108840862993</v>
      </c>
      <c r="H143" s="422">
        <v>1087.7121445721336</v>
      </c>
      <c r="I143" s="485">
        <v>1196.63631652049</v>
      </c>
    </row>
    <row r="144" spans="2:15">
      <c r="B144" s="175" t="s">
        <v>65</v>
      </c>
      <c r="C144" s="64" t="s">
        <v>49</v>
      </c>
      <c r="D144" s="85"/>
      <c r="E144" s="422">
        <v>1198.4116704111023</v>
      </c>
      <c r="F144" s="422">
        <v>1135.0099359117578</v>
      </c>
      <c r="G144" s="422">
        <v>1958.1820014124132</v>
      </c>
      <c r="H144" s="422">
        <v>2814.2054098438489</v>
      </c>
      <c r="I144" s="485">
        <v>3027.5258891601734</v>
      </c>
    </row>
    <row r="145" spans="2:9">
      <c r="B145" s="175"/>
      <c r="C145" s="85"/>
      <c r="D145" s="85"/>
      <c r="E145" s="422"/>
      <c r="F145" s="422"/>
      <c r="G145" s="422"/>
      <c r="H145" s="422"/>
      <c r="I145" s="485"/>
    </row>
    <row r="146" spans="2:9">
      <c r="B146" s="86" t="s">
        <v>67</v>
      </c>
      <c r="C146" s="84"/>
      <c r="D146" s="84"/>
      <c r="E146" s="430">
        <v>5403.5136870373417</v>
      </c>
      <c r="F146" s="430">
        <v>5587.413313387342</v>
      </c>
      <c r="G146" s="430">
        <v>5681.212939737341</v>
      </c>
      <c r="H146" s="430">
        <v>5758.0125660873418</v>
      </c>
      <c r="I146" s="431">
        <v>5888.2121924373414</v>
      </c>
    </row>
    <row r="147" spans="2:9">
      <c r="B147" s="118" t="s">
        <v>71</v>
      </c>
      <c r="C147" s="64" t="s">
        <v>49</v>
      </c>
      <c r="D147" s="492"/>
      <c r="E147" s="492">
        <v>2697.6504969873417</v>
      </c>
      <c r="F147" s="492">
        <v>2697.6504969873417</v>
      </c>
      <c r="G147" s="492">
        <v>2697.6504969873417</v>
      </c>
      <c r="H147" s="492">
        <v>2697.6504969873417</v>
      </c>
      <c r="I147" s="493">
        <v>2697.6504969873417</v>
      </c>
    </row>
    <row r="148" spans="2:9">
      <c r="B148" s="118" t="s">
        <v>68</v>
      </c>
      <c r="C148" s="64" t="s">
        <v>49</v>
      </c>
      <c r="D148" s="492"/>
      <c r="E148" s="492">
        <v>2705.86319005</v>
      </c>
      <c r="F148" s="492">
        <v>2889.7628164000002</v>
      </c>
      <c r="G148" s="492">
        <v>2983.5624427499997</v>
      </c>
      <c r="H148" s="492">
        <v>3060.3620691000001</v>
      </c>
      <c r="I148" s="493">
        <v>3190.5616954499997</v>
      </c>
    </row>
    <row r="149" spans="2:9">
      <c r="B149" s="175"/>
      <c r="C149" s="85"/>
      <c r="D149" s="85"/>
      <c r="E149" s="87"/>
      <c r="F149" s="87"/>
      <c r="G149" s="87"/>
      <c r="H149" s="88"/>
      <c r="I149" s="89"/>
    </row>
    <row r="150" spans="2:9" ht="13.8" thickBot="1">
      <c r="B150" s="21" t="s">
        <v>2</v>
      </c>
      <c r="C150" s="90"/>
      <c r="D150" s="90"/>
      <c r="E150" s="494">
        <v>47132.856089624074</v>
      </c>
      <c r="F150" s="494">
        <v>49370.084879615322</v>
      </c>
      <c r="G150" s="494">
        <v>52717.004968511428</v>
      </c>
      <c r="H150" s="494">
        <v>58788.667669531467</v>
      </c>
      <c r="I150" s="495">
        <v>60343.05088907788</v>
      </c>
    </row>
  </sheetData>
  <mergeCells count="11">
    <mergeCell ref="M102:O102"/>
    <mergeCell ref="O79:O80"/>
    <mergeCell ref="N79:N80"/>
    <mergeCell ref="B64:I64"/>
    <mergeCell ref="B102:C102"/>
    <mergeCell ref="B63:I63"/>
    <mergeCell ref="B3:I3"/>
    <mergeCell ref="B4:I4"/>
    <mergeCell ref="B5:I5"/>
    <mergeCell ref="B33:C34"/>
    <mergeCell ref="B62:I62"/>
  </mergeCells>
  <pageMargins left="0.70866141732283472" right="0.70866141732283472" top="0.74803149606299213" bottom="0.74803149606299213" header="0.31496062992125984" footer="0.31496062992125984"/>
  <pageSetup paperSize="5" scale="75" orientation="landscape" r:id="rId1"/>
  <rowBreaks count="3" manualBreakCount="3">
    <brk id="31" max="16383" man="1"/>
    <brk id="60" max="16383" man="1"/>
    <brk id="108"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64"/>
  <sheetViews>
    <sheetView zoomScale="70" zoomScaleNormal="70" workbookViewId="0">
      <selection activeCell="E4" sqref="E4"/>
    </sheetView>
  </sheetViews>
  <sheetFormatPr baseColWidth="10" defaultColWidth="11.6640625" defaultRowHeight="15" customHeight="1"/>
  <cols>
    <col min="1" max="1" width="51.44140625" style="663" customWidth="1"/>
    <col min="2" max="2" width="11.5546875" style="663" hidden="1" customWidth="1"/>
    <col min="3" max="7" width="11.6640625" style="663"/>
    <col min="8" max="8" width="11" style="663" bestFit="1" customWidth="1"/>
    <col min="9" max="9" width="13.88671875" style="663" customWidth="1"/>
    <col min="10" max="15" width="11.6640625" style="663"/>
    <col min="16" max="16" width="11.6640625" style="663" customWidth="1"/>
    <col min="17" max="18" width="11.6640625" style="663"/>
    <col min="19" max="19" width="11.33203125" style="663" customWidth="1"/>
    <col min="20" max="20" width="11.6640625" style="663"/>
    <col min="21" max="21" width="17.88671875" style="663" customWidth="1"/>
    <col min="22" max="22" width="8.109375" style="663" customWidth="1"/>
    <col min="23" max="33" width="11.6640625" style="663"/>
    <col min="34" max="34" width="11.6640625" style="663" customWidth="1"/>
    <col min="35" max="36" width="11.6640625" style="663"/>
    <col min="37" max="39" width="11.6640625" style="663" hidden="1" customWidth="1"/>
    <col min="40" max="40" width="10.33203125" style="663" hidden="1" customWidth="1"/>
    <col min="41" max="256" width="11.6640625" style="663"/>
    <col min="257" max="257" width="30" style="663" bestFit="1" customWidth="1"/>
    <col min="258" max="258" width="13.88671875" style="663" bestFit="1" customWidth="1"/>
    <col min="259" max="263" width="11.6640625" style="663"/>
    <col min="264" max="264" width="11" style="663" bestFit="1" customWidth="1"/>
    <col min="265" max="265" width="13.88671875" style="663" customWidth="1"/>
    <col min="266" max="274" width="11.6640625" style="663"/>
    <col min="275" max="275" width="11.33203125" style="663" customWidth="1"/>
    <col min="276" max="276" width="11.6640625" style="663"/>
    <col min="277" max="277" width="17.88671875" style="663" customWidth="1"/>
    <col min="278" max="278" width="8.109375" style="663" customWidth="1"/>
    <col min="279" max="512" width="11.6640625" style="663"/>
    <col min="513" max="513" width="30" style="663" bestFit="1" customWidth="1"/>
    <col min="514" max="514" width="13.88671875" style="663" bestFit="1" customWidth="1"/>
    <col min="515" max="519" width="11.6640625" style="663"/>
    <col min="520" max="520" width="11" style="663" bestFit="1" customWidth="1"/>
    <col min="521" max="521" width="13.88671875" style="663" customWidth="1"/>
    <col min="522" max="530" width="11.6640625" style="663"/>
    <col min="531" max="531" width="11.33203125" style="663" customWidth="1"/>
    <col min="532" max="532" width="11.6640625" style="663"/>
    <col min="533" max="533" width="17.88671875" style="663" customWidth="1"/>
    <col min="534" max="534" width="8.109375" style="663" customWidth="1"/>
    <col min="535" max="768" width="11.6640625" style="663"/>
    <col min="769" max="769" width="30" style="663" bestFit="1" customWidth="1"/>
    <col min="770" max="770" width="13.88671875" style="663" bestFit="1" customWidth="1"/>
    <col min="771" max="775" width="11.6640625" style="663"/>
    <col min="776" max="776" width="11" style="663" bestFit="1" customWidth="1"/>
    <col min="777" max="777" width="13.88671875" style="663" customWidth="1"/>
    <col min="778" max="786" width="11.6640625" style="663"/>
    <col min="787" max="787" width="11.33203125" style="663" customWidth="1"/>
    <col min="788" max="788" width="11.6640625" style="663"/>
    <col min="789" max="789" width="17.88671875" style="663" customWidth="1"/>
    <col min="790" max="790" width="8.109375" style="663" customWidth="1"/>
    <col min="791" max="1024" width="11.6640625" style="663"/>
    <col min="1025" max="1025" width="30" style="663" bestFit="1" customWidth="1"/>
    <col min="1026" max="1026" width="13.88671875" style="663" bestFit="1" customWidth="1"/>
    <col min="1027" max="1031" width="11.6640625" style="663"/>
    <col min="1032" max="1032" width="11" style="663" bestFit="1" customWidth="1"/>
    <col min="1033" max="1033" width="13.88671875" style="663" customWidth="1"/>
    <col min="1034" max="1042" width="11.6640625" style="663"/>
    <col min="1043" max="1043" width="11.33203125" style="663" customWidth="1"/>
    <col min="1044" max="1044" width="11.6640625" style="663"/>
    <col min="1045" max="1045" width="17.88671875" style="663" customWidth="1"/>
    <col min="1046" max="1046" width="8.109375" style="663" customWidth="1"/>
    <col min="1047" max="1280" width="11.6640625" style="663"/>
    <col min="1281" max="1281" width="30" style="663" bestFit="1" customWidth="1"/>
    <col min="1282" max="1282" width="13.88671875" style="663" bestFit="1" customWidth="1"/>
    <col min="1283" max="1287" width="11.6640625" style="663"/>
    <col min="1288" max="1288" width="11" style="663" bestFit="1" customWidth="1"/>
    <col min="1289" max="1289" width="13.88671875" style="663" customWidth="1"/>
    <col min="1290" max="1298" width="11.6640625" style="663"/>
    <col min="1299" max="1299" width="11.33203125" style="663" customWidth="1"/>
    <col min="1300" max="1300" width="11.6640625" style="663"/>
    <col min="1301" max="1301" width="17.88671875" style="663" customWidth="1"/>
    <col min="1302" max="1302" width="8.109375" style="663" customWidth="1"/>
    <col min="1303" max="1536" width="11.6640625" style="663"/>
    <col min="1537" max="1537" width="30" style="663" bestFit="1" customWidth="1"/>
    <col min="1538" max="1538" width="13.88671875" style="663" bestFit="1" customWidth="1"/>
    <col min="1539" max="1543" width="11.6640625" style="663"/>
    <col min="1544" max="1544" width="11" style="663" bestFit="1" customWidth="1"/>
    <col min="1545" max="1545" width="13.88671875" style="663" customWidth="1"/>
    <col min="1546" max="1554" width="11.6640625" style="663"/>
    <col min="1555" max="1555" width="11.33203125" style="663" customWidth="1"/>
    <col min="1556" max="1556" width="11.6640625" style="663"/>
    <col min="1557" max="1557" width="17.88671875" style="663" customWidth="1"/>
    <col min="1558" max="1558" width="8.109375" style="663" customWidth="1"/>
    <col min="1559" max="1792" width="11.6640625" style="663"/>
    <col min="1793" max="1793" width="30" style="663" bestFit="1" customWidth="1"/>
    <col min="1794" max="1794" width="13.88671875" style="663" bestFit="1" customWidth="1"/>
    <col min="1795" max="1799" width="11.6640625" style="663"/>
    <col min="1800" max="1800" width="11" style="663" bestFit="1" customWidth="1"/>
    <col min="1801" max="1801" width="13.88671875" style="663" customWidth="1"/>
    <col min="1802" max="1810" width="11.6640625" style="663"/>
    <col min="1811" max="1811" width="11.33203125" style="663" customWidth="1"/>
    <col min="1812" max="1812" width="11.6640625" style="663"/>
    <col min="1813" max="1813" width="17.88671875" style="663" customWidth="1"/>
    <col min="1814" max="1814" width="8.109375" style="663" customWidth="1"/>
    <col min="1815" max="2048" width="11.6640625" style="663"/>
    <col min="2049" max="2049" width="30" style="663" bestFit="1" customWidth="1"/>
    <col min="2050" max="2050" width="13.88671875" style="663" bestFit="1" customWidth="1"/>
    <col min="2051" max="2055" width="11.6640625" style="663"/>
    <col min="2056" max="2056" width="11" style="663" bestFit="1" customWidth="1"/>
    <col min="2057" max="2057" width="13.88671875" style="663" customWidth="1"/>
    <col min="2058" max="2066" width="11.6640625" style="663"/>
    <col min="2067" max="2067" width="11.33203125" style="663" customWidth="1"/>
    <col min="2068" max="2068" width="11.6640625" style="663"/>
    <col min="2069" max="2069" width="17.88671875" style="663" customWidth="1"/>
    <col min="2070" max="2070" width="8.109375" style="663" customWidth="1"/>
    <col min="2071" max="2304" width="11.6640625" style="663"/>
    <col min="2305" max="2305" width="30" style="663" bestFit="1" customWidth="1"/>
    <col min="2306" max="2306" width="13.88671875" style="663" bestFit="1" customWidth="1"/>
    <col min="2307" max="2311" width="11.6640625" style="663"/>
    <col min="2312" max="2312" width="11" style="663" bestFit="1" customWidth="1"/>
    <col min="2313" max="2313" width="13.88671875" style="663" customWidth="1"/>
    <col min="2314" max="2322" width="11.6640625" style="663"/>
    <col min="2323" max="2323" width="11.33203125" style="663" customWidth="1"/>
    <col min="2324" max="2324" width="11.6640625" style="663"/>
    <col min="2325" max="2325" width="17.88671875" style="663" customWidth="1"/>
    <col min="2326" max="2326" width="8.109375" style="663" customWidth="1"/>
    <col min="2327" max="2560" width="11.6640625" style="663"/>
    <col min="2561" max="2561" width="30" style="663" bestFit="1" customWidth="1"/>
    <col min="2562" max="2562" width="13.88671875" style="663" bestFit="1" customWidth="1"/>
    <col min="2563" max="2567" width="11.6640625" style="663"/>
    <col min="2568" max="2568" width="11" style="663" bestFit="1" customWidth="1"/>
    <col min="2569" max="2569" width="13.88671875" style="663" customWidth="1"/>
    <col min="2570" max="2578" width="11.6640625" style="663"/>
    <col min="2579" max="2579" width="11.33203125" style="663" customWidth="1"/>
    <col min="2580" max="2580" width="11.6640625" style="663"/>
    <col min="2581" max="2581" width="17.88671875" style="663" customWidth="1"/>
    <col min="2582" max="2582" width="8.109375" style="663" customWidth="1"/>
    <col min="2583" max="2816" width="11.6640625" style="663"/>
    <col min="2817" max="2817" width="30" style="663" bestFit="1" customWidth="1"/>
    <col min="2818" max="2818" width="13.88671875" style="663" bestFit="1" customWidth="1"/>
    <col min="2819" max="2823" width="11.6640625" style="663"/>
    <col min="2824" max="2824" width="11" style="663" bestFit="1" customWidth="1"/>
    <col min="2825" max="2825" width="13.88671875" style="663" customWidth="1"/>
    <col min="2826" max="2834" width="11.6640625" style="663"/>
    <col min="2835" max="2835" width="11.33203125" style="663" customWidth="1"/>
    <col min="2836" max="2836" width="11.6640625" style="663"/>
    <col min="2837" max="2837" width="17.88671875" style="663" customWidth="1"/>
    <col min="2838" max="2838" width="8.109375" style="663" customWidth="1"/>
    <col min="2839" max="3072" width="11.6640625" style="663"/>
    <col min="3073" max="3073" width="30" style="663" bestFit="1" customWidth="1"/>
    <col min="3074" max="3074" width="13.88671875" style="663" bestFit="1" customWidth="1"/>
    <col min="3075" max="3079" width="11.6640625" style="663"/>
    <col min="3080" max="3080" width="11" style="663" bestFit="1" customWidth="1"/>
    <col min="3081" max="3081" width="13.88671875" style="663" customWidth="1"/>
    <col min="3082" max="3090" width="11.6640625" style="663"/>
    <col min="3091" max="3091" width="11.33203125" style="663" customWidth="1"/>
    <col min="3092" max="3092" width="11.6640625" style="663"/>
    <col min="3093" max="3093" width="17.88671875" style="663" customWidth="1"/>
    <col min="3094" max="3094" width="8.109375" style="663" customWidth="1"/>
    <col min="3095" max="3328" width="11.6640625" style="663"/>
    <col min="3329" max="3329" width="30" style="663" bestFit="1" customWidth="1"/>
    <col min="3330" max="3330" width="13.88671875" style="663" bestFit="1" customWidth="1"/>
    <col min="3331" max="3335" width="11.6640625" style="663"/>
    <col min="3336" max="3336" width="11" style="663" bestFit="1" customWidth="1"/>
    <col min="3337" max="3337" width="13.88671875" style="663" customWidth="1"/>
    <col min="3338" max="3346" width="11.6640625" style="663"/>
    <col min="3347" max="3347" width="11.33203125" style="663" customWidth="1"/>
    <col min="3348" max="3348" width="11.6640625" style="663"/>
    <col min="3349" max="3349" width="17.88671875" style="663" customWidth="1"/>
    <col min="3350" max="3350" width="8.109375" style="663" customWidth="1"/>
    <col min="3351" max="3584" width="11.6640625" style="663"/>
    <col min="3585" max="3585" width="30" style="663" bestFit="1" customWidth="1"/>
    <col min="3586" max="3586" width="13.88671875" style="663" bestFit="1" customWidth="1"/>
    <col min="3587" max="3591" width="11.6640625" style="663"/>
    <col min="3592" max="3592" width="11" style="663" bestFit="1" customWidth="1"/>
    <col min="3593" max="3593" width="13.88671875" style="663" customWidth="1"/>
    <col min="3594" max="3602" width="11.6640625" style="663"/>
    <col min="3603" max="3603" width="11.33203125" style="663" customWidth="1"/>
    <col min="3604" max="3604" width="11.6640625" style="663"/>
    <col min="3605" max="3605" width="17.88671875" style="663" customWidth="1"/>
    <col min="3606" max="3606" width="8.109375" style="663" customWidth="1"/>
    <col min="3607" max="3840" width="11.6640625" style="663"/>
    <col min="3841" max="3841" width="30" style="663" bestFit="1" customWidth="1"/>
    <col min="3842" max="3842" width="13.88671875" style="663" bestFit="1" customWidth="1"/>
    <col min="3843" max="3847" width="11.6640625" style="663"/>
    <col min="3848" max="3848" width="11" style="663" bestFit="1" customWidth="1"/>
    <col min="3849" max="3849" width="13.88671875" style="663" customWidth="1"/>
    <col min="3850" max="3858" width="11.6640625" style="663"/>
    <col min="3859" max="3859" width="11.33203125" style="663" customWidth="1"/>
    <col min="3860" max="3860" width="11.6640625" style="663"/>
    <col min="3861" max="3861" width="17.88671875" style="663" customWidth="1"/>
    <col min="3862" max="3862" width="8.109375" style="663" customWidth="1"/>
    <col min="3863" max="4096" width="11.6640625" style="663"/>
    <col min="4097" max="4097" width="30" style="663" bestFit="1" customWidth="1"/>
    <col min="4098" max="4098" width="13.88671875" style="663" bestFit="1" customWidth="1"/>
    <col min="4099" max="4103" width="11.6640625" style="663"/>
    <col min="4104" max="4104" width="11" style="663" bestFit="1" customWidth="1"/>
    <col min="4105" max="4105" width="13.88671875" style="663" customWidth="1"/>
    <col min="4106" max="4114" width="11.6640625" style="663"/>
    <col min="4115" max="4115" width="11.33203125" style="663" customWidth="1"/>
    <col min="4116" max="4116" width="11.6640625" style="663"/>
    <col min="4117" max="4117" width="17.88671875" style="663" customWidth="1"/>
    <col min="4118" max="4118" width="8.109375" style="663" customWidth="1"/>
    <col min="4119" max="4352" width="11.6640625" style="663"/>
    <col min="4353" max="4353" width="30" style="663" bestFit="1" customWidth="1"/>
    <col min="4354" max="4354" width="13.88671875" style="663" bestFit="1" customWidth="1"/>
    <col min="4355" max="4359" width="11.6640625" style="663"/>
    <col min="4360" max="4360" width="11" style="663" bestFit="1" customWidth="1"/>
    <col min="4361" max="4361" width="13.88671875" style="663" customWidth="1"/>
    <col min="4362" max="4370" width="11.6640625" style="663"/>
    <col min="4371" max="4371" width="11.33203125" style="663" customWidth="1"/>
    <col min="4372" max="4372" width="11.6640625" style="663"/>
    <col min="4373" max="4373" width="17.88671875" style="663" customWidth="1"/>
    <col min="4374" max="4374" width="8.109375" style="663" customWidth="1"/>
    <col min="4375" max="4608" width="11.6640625" style="663"/>
    <col min="4609" max="4609" width="30" style="663" bestFit="1" customWidth="1"/>
    <col min="4610" max="4610" width="13.88671875" style="663" bestFit="1" customWidth="1"/>
    <col min="4611" max="4615" width="11.6640625" style="663"/>
    <col min="4616" max="4616" width="11" style="663" bestFit="1" customWidth="1"/>
    <col min="4617" max="4617" width="13.88671875" style="663" customWidth="1"/>
    <col min="4618" max="4626" width="11.6640625" style="663"/>
    <col min="4627" max="4627" width="11.33203125" style="663" customWidth="1"/>
    <col min="4628" max="4628" width="11.6640625" style="663"/>
    <col min="4629" max="4629" width="17.88671875" style="663" customWidth="1"/>
    <col min="4630" max="4630" width="8.109375" style="663" customWidth="1"/>
    <col min="4631" max="4864" width="11.6640625" style="663"/>
    <col min="4865" max="4865" width="30" style="663" bestFit="1" customWidth="1"/>
    <col min="4866" max="4866" width="13.88671875" style="663" bestFit="1" customWidth="1"/>
    <col min="4867" max="4871" width="11.6640625" style="663"/>
    <col min="4872" max="4872" width="11" style="663" bestFit="1" customWidth="1"/>
    <col min="4873" max="4873" width="13.88671875" style="663" customWidth="1"/>
    <col min="4874" max="4882" width="11.6640625" style="663"/>
    <col min="4883" max="4883" width="11.33203125" style="663" customWidth="1"/>
    <col min="4884" max="4884" width="11.6640625" style="663"/>
    <col min="4885" max="4885" width="17.88671875" style="663" customWidth="1"/>
    <col min="4886" max="4886" width="8.109375" style="663" customWidth="1"/>
    <col min="4887" max="5120" width="11.6640625" style="663"/>
    <col min="5121" max="5121" width="30" style="663" bestFit="1" customWidth="1"/>
    <col min="5122" max="5122" width="13.88671875" style="663" bestFit="1" customWidth="1"/>
    <col min="5123" max="5127" width="11.6640625" style="663"/>
    <col min="5128" max="5128" width="11" style="663" bestFit="1" customWidth="1"/>
    <col min="5129" max="5129" width="13.88671875" style="663" customWidth="1"/>
    <col min="5130" max="5138" width="11.6640625" style="663"/>
    <col min="5139" max="5139" width="11.33203125" style="663" customWidth="1"/>
    <col min="5140" max="5140" width="11.6640625" style="663"/>
    <col min="5141" max="5141" width="17.88671875" style="663" customWidth="1"/>
    <col min="5142" max="5142" width="8.109375" style="663" customWidth="1"/>
    <col min="5143" max="5376" width="11.6640625" style="663"/>
    <col min="5377" max="5377" width="30" style="663" bestFit="1" customWidth="1"/>
    <col min="5378" max="5378" width="13.88671875" style="663" bestFit="1" customWidth="1"/>
    <col min="5379" max="5383" width="11.6640625" style="663"/>
    <col min="5384" max="5384" width="11" style="663" bestFit="1" customWidth="1"/>
    <col min="5385" max="5385" width="13.88671875" style="663" customWidth="1"/>
    <col min="5386" max="5394" width="11.6640625" style="663"/>
    <col min="5395" max="5395" width="11.33203125" style="663" customWidth="1"/>
    <col min="5396" max="5396" width="11.6640625" style="663"/>
    <col min="5397" max="5397" width="17.88671875" style="663" customWidth="1"/>
    <col min="5398" max="5398" width="8.109375" style="663" customWidth="1"/>
    <col min="5399" max="5632" width="11.6640625" style="663"/>
    <col min="5633" max="5633" width="30" style="663" bestFit="1" customWidth="1"/>
    <col min="5634" max="5634" width="13.88671875" style="663" bestFit="1" customWidth="1"/>
    <col min="5635" max="5639" width="11.6640625" style="663"/>
    <col min="5640" max="5640" width="11" style="663" bestFit="1" customWidth="1"/>
    <col min="5641" max="5641" width="13.88671875" style="663" customWidth="1"/>
    <col min="5642" max="5650" width="11.6640625" style="663"/>
    <col min="5651" max="5651" width="11.33203125" style="663" customWidth="1"/>
    <col min="5652" max="5652" width="11.6640625" style="663"/>
    <col min="5653" max="5653" width="17.88671875" style="663" customWidth="1"/>
    <col min="5654" max="5654" width="8.109375" style="663" customWidth="1"/>
    <col min="5655" max="5888" width="11.6640625" style="663"/>
    <col min="5889" max="5889" width="30" style="663" bestFit="1" customWidth="1"/>
    <col min="5890" max="5890" width="13.88671875" style="663" bestFit="1" customWidth="1"/>
    <col min="5891" max="5895" width="11.6640625" style="663"/>
    <col min="5896" max="5896" width="11" style="663" bestFit="1" customWidth="1"/>
    <col min="5897" max="5897" width="13.88671875" style="663" customWidth="1"/>
    <col min="5898" max="5906" width="11.6640625" style="663"/>
    <col min="5907" max="5907" width="11.33203125" style="663" customWidth="1"/>
    <col min="5908" max="5908" width="11.6640625" style="663"/>
    <col min="5909" max="5909" width="17.88671875" style="663" customWidth="1"/>
    <col min="5910" max="5910" width="8.109375" style="663" customWidth="1"/>
    <col min="5911" max="6144" width="11.6640625" style="663"/>
    <col min="6145" max="6145" width="30" style="663" bestFit="1" customWidth="1"/>
    <col min="6146" max="6146" width="13.88671875" style="663" bestFit="1" customWidth="1"/>
    <col min="6147" max="6151" width="11.6640625" style="663"/>
    <col min="6152" max="6152" width="11" style="663" bestFit="1" customWidth="1"/>
    <col min="6153" max="6153" width="13.88671875" style="663" customWidth="1"/>
    <col min="6154" max="6162" width="11.6640625" style="663"/>
    <col min="6163" max="6163" width="11.33203125" style="663" customWidth="1"/>
    <col min="6164" max="6164" width="11.6640625" style="663"/>
    <col min="6165" max="6165" width="17.88671875" style="663" customWidth="1"/>
    <col min="6166" max="6166" width="8.109375" style="663" customWidth="1"/>
    <col min="6167" max="6400" width="11.6640625" style="663"/>
    <col min="6401" max="6401" width="30" style="663" bestFit="1" customWidth="1"/>
    <col min="6402" max="6402" width="13.88671875" style="663" bestFit="1" customWidth="1"/>
    <col min="6403" max="6407" width="11.6640625" style="663"/>
    <col min="6408" max="6408" width="11" style="663" bestFit="1" customWidth="1"/>
    <col min="6409" max="6409" width="13.88671875" style="663" customWidth="1"/>
    <col min="6410" max="6418" width="11.6640625" style="663"/>
    <col min="6419" max="6419" width="11.33203125" style="663" customWidth="1"/>
    <col min="6420" max="6420" width="11.6640625" style="663"/>
    <col min="6421" max="6421" width="17.88671875" style="663" customWidth="1"/>
    <col min="6422" max="6422" width="8.109375" style="663" customWidth="1"/>
    <col min="6423" max="6656" width="11.6640625" style="663"/>
    <col min="6657" max="6657" width="30" style="663" bestFit="1" customWidth="1"/>
    <col min="6658" max="6658" width="13.88671875" style="663" bestFit="1" customWidth="1"/>
    <col min="6659" max="6663" width="11.6640625" style="663"/>
    <col min="6664" max="6664" width="11" style="663" bestFit="1" customWidth="1"/>
    <col min="6665" max="6665" width="13.88671875" style="663" customWidth="1"/>
    <col min="6666" max="6674" width="11.6640625" style="663"/>
    <col min="6675" max="6675" width="11.33203125" style="663" customWidth="1"/>
    <col min="6676" max="6676" width="11.6640625" style="663"/>
    <col min="6677" max="6677" width="17.88671875" style="663" customWidth="1"/>
    <col min="6678" max="6678" width="8.109375" style="663" customWidth="1"/>
    <col min="6679" max="6912" width="11.6640625" style="663"/>
    <col min="6913" max="6913" width="30" style="663" bestFit="1" customWidth="1"/>
    <col min="6914" max="6914" width="13.88671875" style="663" bestFit="1" customWidth="1"/>
    <col min="6915" max="6919" width="11.6640625" style="663"/>
    <col min="6920" max="6920" width="11" style="663" bestFit="1" customWidth="1"/>
    <col min="6921" max="6921" width="13.88671875" style="663" customWidth="1"/>
    <col min="6922" max="6930" width="11.6640625" style="663"/>
    <col min="6931" max="6931" width="11.33203125" style="663" customWidth="1"/>
    <col min="6932" max="6932" width="11.6640625" style="663"/>
    <col min="6933" max="6933" width="17.88671875" style="663" customWidth="1"/>
    <col min="6934" max="6934" width="8.109375" style="663" customWidth="1"/>
    <col min="6935" max="7168" width="11.6640625" style="663"/>
    <col min="7169" max="7169" width="30" style="663" bestFit="1" customWidth="1"/>
    <col min="7170" max="7170" width="13.88671875" style="663" bestFit="1" customWidth="1"/>
    <col min="7171" max="7175" width="11.6640625" style="663"/>
    <col min="7176" max="7176" width="11" style="663" bestFit="1" customWidth="1"/>
    <col min="7177" max="7177" width="13.88671875" style="663" customWidth="1"/>
    <col min="7178" max="7186" width="11.6640625" style="663"/>
    <col min="7187" max="7187" width="11.33203125" style="663" customWidth="1"/>
    <col min="7188" max="7188" width="11.6640625" style="663"/>
    <col min="7189" max="7189" width="17.88671875" style="663" customWidth="1"/>
    <col min="7190" max="7190" width="8.109375" style="663" customWidth="1"/>
    <col min="7191" max="7424" width="11.6640625" style="663"/>
    <col min="7425" max="7425" width="30" style="663" bestFit="1" customWidth="1"/>
    <col min="7426" max="7426" width="13.88671875" style="663" bestFit="1" customWidth="1"/>
    <col min="7427" max="7431" width="11.6640625" style="663"/>
    <col min="7432" max="7432" width="11" style="663" bestFit="1" customWidth="1"/>
    <col min="7433" max="7433" width="13.88671875" style="663" customWidth="1"/>
    <col min="7434" max="7442" width="11.6640625" style="663"/>
    <col min="7443" max="7443" width="11.33203125" style="663" customWidth="1"/>
    <col min="7444" max="7444" width="11.6640625" style="663"/>
    <col min="7445" max="7445" width="17.88671875" style="663" customWidth="1"/>
    <col min="7446" max="7446" width="8.109375" style="663" customWidth="1"/>
    <col min="7447" max="7680" width="11.6640625" style="663"/>
    <col min="7681" max="7681" width="30" style="663" bestFit="1" customWidth="1"/>
    <col min="7682" max="7682" width="13.88671875" style="663" bestFit="1" customWidth="1"/>
    <col min="7683" max="7687" width="11.6640625" style="663"/>
    <col min="7688" max="7688" width="11" style="663" bestFit="1" customWidth="1"/>
    <col min="7689" max="7689" width="13.88671875" style="663" customWidth="1"/>
    <col min="7690" max="7698" width="11.6640625" style="663"/>
    <col min="7699" max="7699" width="11.33203125" style="663" customWidth="1"/>
    <col min="7700" max="7700" width="11.6640625" style="663"/>
    <col min="7701" max="7701" width="17.88671875" style="663" customWidth="1"/>
    <col min="7702" max="7702" width="8.109375" style="663" customWidth="1"/>
    <col min="7703" max="7936" width="11.6640625" style="663"/>
    <col min="7937" max="7937" width="30" style="663" bestFit="1" customWidth="1"/>
    <col min="7938" max="7938" width="13.88671875" style="663" bestFit="1" customWidth="1"/>
    <col min="7939" max="7943" width="11.6640625" style="663"/>
    <col min="7944" max="7944" width="11" style="663" bestFit="1" customWidth="1"/>
    <col min="7945" max="7945" width="13.88671875" style="663" customWidth="1"/>
    <col min="7946" max="7954" width="11.6640625" style="663"/>
    <col min="7955" max="7955" width="11.33203125" style="663" customWidth="1"/>
    <col min="7956" max="7956" width="11.6640625" style="663"/>
    <col min="7957" max="7957" width="17.88671875" style="663" customWidth="1"/>
    <col min="7958" max="7958" width="8.109375" style="663" customWidth="1"/>
    <col min="7959" max="8192" width="11.6640625" style="663"/>
    <col min="8193" max="8193" width="30" style="663" bestFit="1" customWidth="1"/>
    <col min="8194" max="8194" width="13.88671875" style="663" bestFit="1" customWidth="1"/>
    <col min="8195" max="8199" width="11.6640625" style="663"/>
    <col min="8200" max="8200" width="11" style="663" bestFit="1" customWidth="1"/>
    <col min="8201" max="8201" width="13.88671875" style="663" customWidth="1"/>
    <col min="8202" max="8210" width="11.6640625" style="663"/>
    <col min="8211" max="8211" width="11.33203125" style="663" customWidth="1"/>
    <col min="8212" max="8212" width="11.6640625" style="663"/>
    <col min="8213" max="8213" width="17.88671875" style="663" customWidth="1"/>
    <col min="8214" max="8214" width="8.109375" style="663" customWidth="1"/>
    <col min="8215" max="8448" width="11.6640625" style="663"/>
    <col min="8449" max="8449" width="30" style="663" bestFit="1" customWidth="1"/>
    <col min="8450" max="8450" width="13.88671875" style="663" bestFit="1" customWidth="1"/>
    <col min="8451" max="8455" width="11.6640625" style="663"/>
    <col min="8456" max="8456" width="11" style="663" bestFit="1" customWidth="1"/>
    <col min="8457" max="8457" width="13.88671875" style="663" customWidth="1"/>
    <col min="8458" max="8466" width="11.6640625" style="663"/>
    <col min="8467" max="8467" width="11.33203125" style="663" customWidth="1"/>
    <col min="8468" max="8468" width="11.6640625" style="663"/>
    <col min="8469" max="8469" width="17.88671875" style="663" customWidth="1"/>
    <col min="8470" max="8470" width="8.109375" style="663" customWidth="1"/>
    <col min="8471" max="8704" width="11.6640625" style="663"/>
    <col min="8705" max="8705" width="30" style="663" bestFit="1" customWidth="1"/>
    <col min="8706" max="8706" width="13.88671875" style="663" bestFit="1" customWidth="1"/>
    <col min="8707" max="8711" width="11.6640625" style="663"/>
    <col min="8712" max="8712" width="11" style="663" bestFit="1" customWidth="1"/>
    <col min="8713" max="8713" width="13.88671875" style="663" customWidth="1"/>
    <col min="8714" max="8722" width="11.6640625" style="663"/>
    <col min="8723" max="8723" width="11.33203125" style="663" customWidth="1"/>
    <col min="8724" max="8724" width="11.6640625" style="663"/>
    <col min="8725" max="8725" width="17.88671875" style="663" customWidth="1"/>
    <col min="8726" max="8726" width="8.109375" style="663" customWidth="1"/>
    <col min="8727" max="8960" width="11.6640625" style="663"/>
    <col min="8961" max="8961" width="30" style="663" bestFit="1" customWidth="1"/>
    <col min="8962" max="8962" width="13.88671875" style="663" bestFit="1" customWidth="1"/>
    <col min="8963" max="8967" width="11.6640625" style="663"/>
    <col min="8968" max="8968" width="11" style="663" bestFit="1" customWidth="1"/>
    <col min="8969" max="8969" width="13.88671875" style="663" customWidth="1"/>
    <col min="8970" max="8978" width="11.6640625" style="663"/>
    <col min="8979" max="8979" width="11.33203125" style="663" customWidth="1"/>
    <col min="8980" max="8980" width="11.6640625" style="663"/>
    <col min="8981" max="8981" width="17.88671875" style="663" customWidth="1"/>
    <col min="8982" max="8982" width="8.109375" style="663" customWidth="1"/>
    <col min="8983" max="9216" width="11.6640625" style="663"/>
    <col min="9217" max="9217" width="30" style="663" bestFit="1" customWidth="1"/>
    <col min="9218" max="9218" width="13.88671875" style="663" bestFit="1" customWidth="1"/>
    <col min="9219" max="9223" width="11.6640625" style="663"/>
    <col min="9224" max="9224" width="11" style="663" bestFit="1" customWidth="1"/>
    <col min="9225" max="9225" width="13.88671875" style="663" customWidth="1"/>
    <col min="9226" max="9234" width="11.6640625" style="663"/>
    <col min="9235" max="9235" width="11.33203125" style="663" customWidth="1"/>
    <col min="9236" max="9236" width="11.6640625" style="663"/>
    <col min="9237" max="9237" width="17.88671875" style="663" customWidth="1"/>
    <col min="9238" max="9238" width="8.109375" style="663" customWidth="1"/>
    <col min="9239" max="9472" width="11.6640625" style="663"/>
    <col min="9473" max="9473" width="30" style="663" bestFit="1" customWidth="1"/>
    <col min="9474" max="9474" width="13.88671875" style="663" bestFit="1" customWidth="1"/>
    <col min="9475" max="9479" width="11.6640625" style="663"/>
    <col min="9480" max="9480" width="11" style="663" bestFit="1" customWidth="1"/>
    <col min="9481" max="9481" width="13.88671875" style="663" customWidth="1"/>
    <col min="9482" max="9490" width="11.6640625" style="663"/>
    <col min="9491" max="9491" width="11.33203125" style="663" customWidth="1"/>
    <col min="9492" max="9492" width="11.6640625" style="663"/>
    <col min="9493" max="9493" width="17.88671875" style="663" customWidth="1"/>
    <col min="9494" max="9494" width="8.109375" style="663" customWidth="1"/>
    <col min="9495" max="9728" width="11.6640625" style="663"/>
    <col min="9729" max="9729" width="30" style="663" bestFit="1" customWidth="1"/>
    <col min="9730" max="9730" width="13.88671875" style="663" bestFit="1" customWidth="1"/>
    <col min="9731" max="9735" width="11.6640625" style="663"/>
    <col min="9736" max="9736" width="11" style="663" bestFit="1" customWidth="1"/>
    <col min="9737" max="9737" width="13.88671875" style="663" customWidth="1"/>
    <col min="9738" max="9746" width="11.6640625" style="663"/>
    <col min="9747" max="9747" width="11.33203125" style="663" customWidth="1"/>
    <col min="9748" max="9748" width="11.6640625" style="663"/>
    <col min="9749" max="9749" width="17.88671875" style="663" customWidth="1"/>
    <col min="9750" max="9750" width="8.109375" style="663" customWidth="1"/>
    <col min="9751" max="9984" width="11.6640625" style="663"/>
    <col min="9985" max="9985" width="30" style="663" bestFit="1" customWidth="1"/>
    <col min="9986" max="9986" width="13.88671875" style="663" bestFit="1" customWidth="1"/>
    <col min="9987" max="9991" width="11.6640625" style="663"/>
    <col min="9992" max="9992" width="11" style="663" bestFit="1" customWidth="1"/>
    <col min="9993" max="9993" width="13.88671875" style="663" customWidth="1"/>
    <col min="9994" max="10002" width="11.6640625" style="663"/>
    <col min="10003" max="10003" width="11.33203125" style="663" customWidth="1"/>
    <col min="10004" max="10004" width="11.6640625" style="663"/>
    <col min="10005" max="10005" width="17.88671875" style="663" customWidth="1"/>
    <col min="10006" max="10006" width="8.109375" style="663" customWidth="1"/>
    <col min="10007" max="10240" width="11.6640625" style="663"/>
    <col min="10241" max="10241" width="30" style="663" bestFit="1" customWidth="1"/>
    <col min="10242" max="10242" width="13.88671875" style="663" bestFit="1" customWidth="1"/>
    <col min="10243" max="10247" width="11.6640625" style="663"/>
    <col min="10248" max="10248" width="11" style="663" bestFit="1" customWidth="1"/>
    <col min="10249" max="10249" width="13.88671875" style="663" customWidth="1"/>
    <col min="10250" max="10258" width="11.6640625" style="663"/>
    <col min="10259" max="10259" width="11.33203125" style="663" customWidth="1"/>
    <col min="10260" max="10260" width="11.6640625" style="663"/>
    <col min="10261" max="10261" width="17.88671875" style="663" customWidth="1"/>
    <col min="10262" max="10262" width="8.109375" style="663" customWidth="1"/>
    <col min="10263" max="10496" width="11.6640625" style="663"/>
    <col min="10497" max="10497" width="30" style="663" bestFit="1" customWidth="1"/>
    <col min="10498" max="10498" width="13.88671875" style="663" bestFit="1" customWidth="1"/>
    <col min="10499" max="10503" width="11.6640625" style="663"/>
    <col min="10504" max="10504" width="11" style="663" bestFit="1" customWidth="1"/>
    <col min="10505" max="10505" width="13.88671875" style="663" customWidth="1"/>
    <col min="10506" max="10514" width="11.6640625" style="663"/>
    <col min="10515" max="10515" width="11.33203125" style="663" customWidth="1"/>
    <col min="10516" max="10516" width="11.6640625" style="663"/>
    <col min="10517" max="10517" width="17.88671875" style="663" customWidth="1"/>
    <col min="10518" max="10518" width="8.109375" style="663" customWidth="1"/>
    <col min="10519" max="10752" width="11.6640625" style="663"/>
    <col min="10753" max="10753" width="30" style="663" bestFit="1" customWidth="1"/>
    <col min="10754" max="10754" width="13.88671875" style="663" bestFit="1" customWidth="1"/>
    <col min="10755" max="10759" width="11.6640625" style="663"/>
    <col min="10760" max="10760" width="11" style="663" bestFit="1" customWidth="1"/>
    <col min="10761" max="10761" width="13.88671875" style="663" customWidth="1"/>
    <col min="10762" max="10770" width="11.6640625" style="663"/>
    <col min="10771" max="10771" width="11.33203125" style="663" customWidth="1"/>
    <col min="10772" max="10772" width="11.6640625" style="663"/>
    <col min="10773" max="10773" width="17.88671875" style="663" customWidth="1"/>
    <col min="10774" max="10774" width="8.109375" style="663" customWidth="1"/>
    <col min="10775" max="11008" width="11.6640625" style="663"/>
    <col min="11009" max="11009" width="30" style="663" bestFit="1" customWidth="1"/>
    <col min="11010" max="11010" width="13.88671875" style="663" bestFit="1" customWidth="1"/>
    <col min="11011" max="11015" width="11.6640625" style="663"/>
    <col min="11016" max="11016" width="11" style="663" bestFit="1" customWidth="1"/>
    <col min="11017" max="11017" width="13.88671875" style="663" customWidth="1"/>
    <col min="11018" max="11026" width="11.6640625" style="663"/>
    <col min="11027" max="11027" width="11.33203125" style="663" customWidth="1"/>
    <col min="11028" max="11028" width="11.6640625" style="663"/>
    <col min="11029" max="11029" width="17.88671875" style="663" customWidth="1"/>
    <col min="11030" max="11030" width="8.109375" style="663" customWidth="1"/>
    <col min="11031" max="11264" width="11.6640625" style="663"/>
    <col min="11265" max="11265" width="30" style="663" bestFit="1" customWidth="1"/>
    <col min="11266" max="11266" width="13.88671875" style="663" bestFit="1" customWidth="1"/>
    <col min="11267" max="11271" width="11.6640625" style="663"/>
    <col min="11272" max="11272" width="11" style="663" bestFit="1" customWidth="1"/>
    <col min="11273" max="11273" width="13.88671875" style="663" customWidth="1"/>
    <col min="11274" max="11282" width="11.6640625" style="663"/>
    <col min="11283" max="11283" width="11.33203125" style="663" customWidth="1"/>
    <col min="11284" max="11284" width="11.6640625" style="663"/>
    <col min="11285" max="11285" width="17.88671875" style="663" customWidth="1"/>
    <col min="11286" max="11286" width="8.109375" style="663" customWidth="1"/>
    <col min="11287" max="11520" width="11.6640625" style="663"/>
    <col min="11521" max="11521" width="30" style="663" bestFit="1" customWidth="1"/>
    <col min="11522" max="11522" width="13.88671875" style="663" bestFit="1" customWidth="1"/>
    <col min="11523" max="11527" width="11.6640625" style="663"/>
    <col min="11528" max="11528" width="11" style="663" bestFit="1" customWidth="1"/>
    <col min="11529" max="11529" width="13.88671875" style="663" customWidth="1"/>
    <col min="11530" max="11538" width="11.6640625" style="663"/>
    <col min="11539" max="11539" width="11.33203125" style="663" customWidth="1"/>
    <col min="11540" max="11540" width="11.6640625" style="663"/>
    <col min="11541" max="11541" width="17.88671875" style="663" customWidth="1"/>
    <col min="11542" max="11542" width="8.109375" style="663" customWidth="1"/>
    <col min="11543" max="11776" width="11.6640625" style="663"/>
    <col min="11777" max="11777" width="30" style="663" bestFit="1" customWidth="1"/>
    <col min="11778" max="11778" width="13.88671875" style="663" bestFit="1" customWidth="1"/>
    <col min="11779" max="11783" width="11.6640625" style="663"/>
    <col min="11784" max="11784" width="11" style="663" bestFit="1" customWidth="1"/>
    <col min="11785" max="11785" width="13.88671875" style="663" customWidth="1"/>
    <col min="11786" max="11794" width="11.6640625" style="663"/>
    <col min="11795" max="11795" width="11.33203125" style="663" customWidth="1"/>
    <col min="11796" max="11796" width="11.6640625" style="663"/>
    <col min="11797" max="11797" width="17.88671875" style="663" customWidth="1"/>
    <col min="11798" max="11798" width="8.109375" style="663" customWidth="1"/>
    <col min="11799" max="12032" width="11.6640625" style="663"/>
    <col min="12033" max="12033" width="30" style="663" bestFit="1" customWidth="1"/>
    <col min="12034" max="12034" width="13.88671875" style="663" bestFit="1" customWidth="1"/>
    <col min="12035" max="12039" width="11.6640625" style="663"/>
    <col min="12040" max="12040" width="11" style="663" bestFit="1" customWidth="1"/>
    <col min="12041" max="12041" width="13.88671875" style="663" customWidth="1"/>
    <col min="12042" max="12050" width="11.6640625" style="663"/>
    <col min="12051" max="12051" width="11.33203125" style="663" customWidth="1"/>
    <col min="12052" max="12052" width="11.6640625" style="663"/>
    <col min="12053" max="12053" width="17.88671875" style="663" customWidth="1"/>
    <col min="12054" max="12054" width="8.109375" style="663" customWidth="1"/>
    <col min="12055" max="12288" width="11.6640625" style="663"/>
    <col min="12289" max="12289" width="30" style="663" bestFit="1" customWidth="1"/>
    <col min="12290" max="12290" width="13.88671875" style="663" bestFit="1" customWidth="1"/>
    <col min="12291" max="12295" width="11.6640625" style="663"/>
    <col min="12296" max="12296" width="11" style="663" bestFit="1" customWidth="1"/>
    <col min="12297" max="12297" width="13.88671875" style="663" customWidth="1"/>
    <col min="12298" max="12306" width="11.6640625" style="663"/>
    <col min="12307" max="12307" width="11.33203125" style="663" customWidth="1"/>
    <col min="12308" max="12308" width="11.6640625" style="663"/>
    <col min="12309" max="12309" width="17.88671875" style="663" customWidth="1"/>
    <col min="12310" max="12310" width="8.109375" style="663" customWidth="1"/>
    <col min="12311" max="12544" width="11.6640625" style="663"/>
    <col min="12545" max="12545" width="30" style="663" bestFit="1" customWidth="1"/>
    <col min="12546" max="12546" width="13.88671875" style="663" bestFit="1" customWidth="1"/>
    <col min="12547" max="12551" width="11.6640625" style="663"/>
    <col min="12552" max="12552" width="11" style="663" bestFit="1" customWidth="1"/>
    <col min="12553" max="12553" width="13.88671875" style="663" customWidth="1"/>
    <col min="12554" max="12562" width="11.6640625" style="663"/>
    <col min="12563" max="12563" width="11.33203125" style="663" customWidth="1"/>
    <col min="12564" max="12564" width="11.6640625" style="663"/>
    <col min="12565" max="12565" width="17.88671875" style="663" customWidth="1"/>
    <col min="12566" max="12566" width="8.109375" style="663" customWidth="1"/>
    <col min="12567" max="12800" width="11.6640625" style="663"/>
    <col min="12801" max="12801" width="30" style="663" bestFit="1" customWidth="1"/>
    <col min="12802" max="12802" width="13.88671875" style="663" bestFit="1" customWidth="1"/>
    <col min="12803" max="12807" width="11.6640625" style="663"/>
    <col min="12808" max="12808" width="11" style="663" bestFit="1" customWidth="1"/>
    <col min="12809" max="12809" width="13.88671875" style="663" customWidth="1"/>
    <col min="12810" max="12818" width="11.6640625" style="663"/>
    <col min="12819" max="12819" width="11.33203125" style="663" customWidth="1"/>
    <col min="12820" max="12820" width="11.6640625" style="663"/>
    <col min="12821" max="12821" width="17.88671875" style="663" customWidth="1"/>
    <col min="12822" max="12822" width="8.109375" style="663" customWidth="1"/>
    <col min="12823" max="13056" width="11.6640625" style="663"/>
    <col min="13057" max="13057" width="30" style="663" bestFit="1" customWidth="1"/>
    <col min="13058" max="13058" width="13.88671875" style="663" bestFit="1" customWidth="1"/>
    <col min="13059" max="13063" width="11.6640625" style="663"/>
    <col min="13064" max="13064" width="11" style="663" bestFit="1" customWidth="1"/>
    <col min="13065" max="13065" width="13.88671875" style="663" customWidth="1"/>
    <col min="13066" max="13074" width="11.6640625" style="663"/>
    <col min="13075" max="13075" width="11.33203125" style="663" customWidth="1"/>
    <col min="13076" max="13076" width="11.6640625" style="663"/>
    <col min="13077" max="13077" width="17.88671875" style="663" customWidth="1"/>
    <col min="13078" max="13078" width="8.109375" style="663" customWidth="1"/>
    <col min="13079" max="13312" width="11.6640625" style="663"/>
    <col min="13313" max="13313" width="30" style="663" bestFit="1" customWidth="1"/>
    <col min="13314" max="13314" width="13.88671875" style="663" bestFit="1" customWidth="1"/>
    <col min="13315" max="13319" width="11.6640625" style="663"/>
    <col min="13320" max="13320" width="11" style="663" bestFit="1" customWidth="1"/>
    <col min="13321" max="13321" width="13.88671875" style="663" customWidth="1"/>
    <col min="13322" max="13330" width="11.6640625" style="663"/>
    <col min="13331" max="13331" width="11.33203125" style="663" customWidth="1"/>
    <col min="13332" max="13332" width="11.6640625" style="663"/>
    <col min="13333" max="13333" width="17.88671875" style="663" customWidth="1"/>
    <col min="13334" max="13334" width="8.109375" style="663" customWidth="1"/>
    <col min="13335" max="13568" width="11.6640625" style="663"/>
    <col min="13569" max="13569" width="30" style="663" bestFit="1" customWidth="1"/>
    <col min="13570" max="13570" width="13.88671875" style="663" bestFit="1" customWidth="1"/>
    <col min="13571" max="13575" width="11.6640625" style="663"/>
    <col min="13576" max="13576" width="11" style="663" bestFit="1" customWidth="1"/>
    <col min="13577" max="13577" width="13.88671875" style="663" customWidth="1"/>
    <col min="13578" max="13586" width="11.6640625" style="663"/>
    <col min="13587" max="13587" width="11.33203125" style="663" customWidth="1"/>
    <col min="13588" max="13588" width="11.6640625" style="663"/>
    <col min="13589" max="13589" width="17.88671875" style="663" customWidth="1"/>
    <col min="13590" max="13590" width="8.109375" style="663" customWidth="1"/>
    <col min="13591" max="13824" width="11.6640625" style="663"/>
    <col min="13825" max="13825" width="30" style="663" bestFit="1" customWidth="1"/>
    <col min="13826" max="13826" width="13.88671875" style="663" bestFit="1" customWidth="1"/>
    <col min="13827" max="13831" width="11.6640625" style="663"/>
    <col min="13832" max="13832" width="11" style="663" bestFit="1" customWidth="1"/>
    <col min="13833" max="13833" width="13.88671875" style="663" customWidth="1"/>
    <col min="13834" max="13842" width="11.6640625" style="663"/>
    <col min="13843" max="13843" width="11.33203125" style="663" customWidth="1"/>
    <col min="13844" max="13844" width="11.6640625" style="663"/>
    <col min="13845" max="13845" width="17.88671875" style="663" customWidth="1"/>
    <col min="13846" max="13846" width="8.109375" style="663" customWidth="1"/>
    <col min="13847" max="14080" width="11.6640625" style="663"/>
    <col min="14081" max="14081" width="30" style="663" bestFit="1" customWidth="1"/>
    <col min="14082" max="14082" width="13.88671875" style="663" bestFit="1" customWidth="1"/>
    <col min="14083" max="14087" width="11.6640625" style="663"/>
    <col min="14088" max="14088" width="11" style="663" bestFit="1" customWidth="1"/>
    <col min="14089" max="14089" width="13.88671875" style="663" customWidth="1"/>
    <col min="14090" max="14098" width="11.6640625" style="663"/>
    <col min="14099" max="14099" width="11.33203125" style="663" customWidth="1"/>
    <col min="14100" max="14100" width="11.6640625" style="663"/>
    <col min="14101" max="14101" width="17.88671875" style="663" customWidth="1"/>
    <col min="14102" max="14102" width="8.109375" style="663" customWidth="1"/>
    <col min="14103" max="14336" width="11.6640625" style="663"/>
    <col min="14337" max="14337" width="30" style="663" bestFit="1" customWidth="1"/>
    <col min="14338" max="14338" width="13.88671875" style="663" bestFit="1" customWidth="1"/>
    <col min="14339" max="14343" width="11.6640625" style="663"/>
    <col min="14344" max="14344" width="11" style="663" bestFit="1" customWidth="1"/>
    <col min="14345" max="14345" width="13.88671875" style="663" customWidth="1"/>
    <col min="14346" max="14354" width="11.6640625" style="663"/>
    <col min="14355" max="14355" width="11.33203125" style="663" customWidth="1"/>
    <col min="14356" max="14356" width="11.6640625" style="663"/>
    <col min="14357" max="14357" width="17.88671875" style="663" customWidth="1"/>
    <col min="14358" max="14358" width="8.109375" style="663" customWidth="1"/>
    <col min="14359" max="14592" width="11.6640625" style="663"/>
    <col min="14593" max="14593" width="30" style="663" bestFit="1" customWidth="1"/>
    <col min="14594" max="14594" width="13.88671875" style="663" bestFit="1" customWidth="1"/>
    <col min="14595" max="14599" width="11.6640625" style="663"/>
    <col min="14600" max="14600" width="11" style="663" bestFit="1" customWidth="1"/>
    <col min="14601" max="14601" width="13.88671875" style="663" customWidth="1"/>
    <col min="14602" max="14610" width="11.6640625" style="663"/>
    <col min="14611" max="14611" width="11.33203125" style="663" customWidth="1"/>
    <col min="14612" max="14612" width="11.6640625" style="663"/>
    <col min="14613" max="14613" width="17.88671875" style="663" customWidth="1"/>
    <col min="14614" max="14614" width="8.109375" style="663" customWidth="1"/>
    <col min="14615" max="14848" width="11.6640625" style="663"/>
    <col min="14849" max="14849" width="30" style="663" bestFit="1" customWidth="1"/>
    <col min="14850" max="14850" width="13.88671875" style="663" bestFit="1" customWidth="1"/>
    <col min="14851" max="14855" width="11.6640625" style="663"/>
    <col min="14856" max="14856" width="11" style="663" bestFit="1" customWidth="1"/>
    <col min="14857" max="14857" width="13.88671875" style="663" customWidth="1"/>
    <col min="14858" max="14866" width="11.6640625" style="663"/>
    <col min="14867" max="14867" width="11.33203125" style="663" customWidth="1"/>
    <col min="14868" max="14868" width="11.6640625" style="663"/>
    <col min="14869" max="14869" width="17.88671875" style="663" customWidth="1"/>
    <col min="14870" max="14870" width="8.109375" style="663" customWidth="1"/>
    <col min="14871" max="15104" width="11.6640625" style="663"/>
    <col min="15105" max="15105" width="30" style="663" bestFit="1" customWidth="1"/>
    <col min="15106" max="15106" width="13.88671875" style="663" bestFit="1" customWidth="1"/>
    <col min="15107" max="15111" width="11.6640625" style="663"/>
    <col min="15112" max="15112" width="11" style="663" bestFit="1" customWidth="1"/>
    <col min="15113" max="15113" width="13.88671875" style="663" customWidth="1"/>
    <col min="15114" max="15122" width="11.6640625" style="663"/>
    <col min="15123" max="15123" width="11.33203125" style="663" customWidth="1"/>
    <col min="15124" max="15124" width="11.6640625" style="663"/>
    <col min="15125" max="15125" width="17.88671875" style="663" customWidth="1"/>
    <col min="15126" max="15126" width="8.109375" style="663" customWidth="1"/>
    <col min="15127" max="15360" width="11.6640625" style="663"/>
    <col min="15361" max="15361" width="30" style="663" bestFit="1" customWidth="1"/>
    <col min="15362" max="15362" width="13.88671875" style="663" bestFit="1" customWidth="1"/>
    <col min="15363" max="15367" width="11.6640625" style="663"/>
    <col min="15368" max="15368" width="11" style="663" bestFit="1" customWidth="1"/>
    <col min="15369" max="15369" width="13.88671875" style="663" customWidth="1"/>
    <col min="15370" max="15378" width="11.6640625" style="663"/>
    <col min="15379" max="15379" width="11.33203125" style="663" customWidth="1"/>
    <col min="15380" max="15380" width="11.6640625" style="663"/>
    <col min="15381" max="15381" width="17.88671875" style="663" customWidth="1"/>
    <col min="15382" max="15382" width="8.109375" style="663" customWidth="1"/>
    <col min="15383" max="15616" width="11.6640625" style="663"/>
    <col min="15617" max="15617" width="30" style="663" bestFit="1" customWidth="1"/>
    <col min="15618" max="15618" width="13.88671875" style="663" bestFit="1" customWidth="1"/>
    <col min="15619" max="15623" width="11.6640625" style="663"/>
    <col min="15624" max="15624" width="11" style="663" bestFit="1" customWidth="1"/>
    <col min="15625" max="15625" width="13.88671875" style="663" customWidth="1"/>
    <col min="15626" max="15634" width="11.6640625" style="663"/>
    <col min="15635" max="15635" width="11.33203125" style="663" customWidth="1"/>
    <col min="15636" max="15636" width="11.6640625" style="663"/>
    <col min="15637" max="15637" width="17.88671875" style="663" customWidth="1"/>
    <col min="15638" max="15638" width="8.109375" style="663" customWidth="1"/>
    <col min="15639" max="15872" width="11.6640625" style="663"/>
    <col min="15873" max="15873" width="30" style="663" bestFit="1" customWidth="1"/>
    <col min="15874" max="15874" width="13.88671875" style="663" bestFit="1" customWidth="1"/>
    <col min="15875" max="15879" width="11.6640625" style="663"/>
    <col min="15880" max="15880" width="11" style="663" bestFit="1" customWidth="1"/>
    <col min="15881" max="15881" width="13.88671875" style="663" customWidth="1"/>
    <col min="15882" max="15890" width="11.6640625" style="663"/>
    <col min="15891" max="15891" width="11.33203125" style="663" customWidth="1"/>
    <col min="15892" max="15892" width="11.6640625" style="663"/>
    <col min="15893" max="15893" width="17.88671875" style="663" customWidth="1"/>
    <col min="15894" max="15894" width="8.109375" style="663" customWidth="1"/>
    <col min="15895" max="16128" width="11.6640625" style="663"/>
    <col min="16129" max="16129" width="30" style="663" bestFit="1" customWidth="1"/>
    <col min="16130" max="16130" width="13.88671875" style="663" bestFit="1" customWidth="1"/>
    <col min="16131" max="16135" width="11.6640625" style="663"/>
    <col min="16136" max="16136" width="11" style="663" bestFit="1" customWidth="1"/>
    <col min="16137" max="16137" width="13.88671875" style="663" customWidth="1"/>
    <col min="16138" max="16146" width="11.6640625" style="663"/>
    <col min="16147" max="16147" width="11.33203125" style="663" customWidth="1"/>
    <col min="16148" max="16148" width="11.6640625" style="663"/>
    <col min="16149" max="16149" width="17.88671875" style="663" customWidth="1"/>
    <col min="16150" max="16150" width="8.109375" style="663" customWidth="1"/>
    <col min="16151" max="16384" width="11.6640625" style="663"/>
  </cols>
  <sheetData>
    <row r="1" spans="1:40" ht="27" customHeight="1">
      <c r="A1" s="661" t="s">
        <v>128</v>
      </c>
      <c r="B1" s="661">
        <v>1</v>
      </c>
      <c r="C1" s="662" t="s">
        <v>322</v>
      </c>
      <c r="H1" s="664" t="s">
        <v>383</v>
      </c>
      <c r="I1" s="665"/>
    </row>
    <row r="2" spans="1:40" ht="15" customHeight="1">
      <c r="A2" s="666"/>
      <c r="B2" s="667" t="s">
        <v>384</v>
      </c>
      <c r="C2" s="668"/>
      <c r="D2" s="669" t="s">
        <v>131</v>
      </c>
      <c r="E2" s="670"/>
      <c r="F2" s="671" t="s">
        <v>132</v>
      </c>
    </row>
    <row r="3" spans="1:40" ht="15" customHeight="1">
      <c r="A3" s="672" t="s">
        <v>133</v>
      </c>
      <c r="B3" s="673">
        <v>54543.622199264239</v>
      </c>
      <c r="C3" s="674">
        <f>SUM(C4:C5)</f>
        <v>1</v>
      </c>
      <c r="D3" s="675" t="e">
        <f>SUM(D4:D5)</f>
        <v>#VALUE!</v>
      </c>
      <c r="E3" s="674" t="e">
        <f>D3/$D$3</f>
        <v>#VALUE!</v>
      </c>
      <c r="F3" s="676" t="s">
        <v>134</v>
      </c>
      <c r="H3" s="672" t="s">
        <v>385</v>
      </c>
      <c r="I3" s="677">
        <v>0</v>
      </c>
      <c r="J3" s="678" t="s">
        <v>386</v>
      </c>
      <c r="L3" s="679" t="s">
        <v>135</v>
      </c>
      <c r="M3" s="680">
        <v>0.7</v>
      </c>
      <c r="N3" s="681">
        <f>M3*B3</f>
        <v>38180.535539484961</v>
      </c>
    </row>
    <row r="4" spans="1:40" ht="15" customHeight="1">
      <c r="A4" s="682" t="s">
        <v>115</v>
      </c>
      <c r="B4" s="683">
        <f>C4*B3</f>
        <v>46648.432540596245</v>
      </c>
      <c r="C4" s="684">
        <v>0.85524999366883825</v>
      </c>
      <c r="D4" s="685" t="e">
        <f>SUMIFS([24]Ram!G2:G989,[24]Ram!C2:C989,230,[24]Ram!F2:F989,"S")</f>
        <v>#VALUE!</v>
      </c>
      <c r="E4" s="686" t="e">
        <f>D4/$D$3</f>
        <v>#VALUE!</v>
      </c>
      <c r="F4" s="687" t="e">
        <f>B4/D4</f>
        <v>#VALUE!</v>
      </c>
      <c r="L4" s="679" t="s">
        <v>136</v>
      </c>
      <c r="M4" s="680">
        <v>0.3</v>
      </c>
      <c r="N4" s="681">
        <f>M4*B3</f>
        <v>16363.08665977927</v>
      </c>
    </row>
    <row r="5" spans="1:40" ht="15" customHeight="1">
      <c r="A5" s="688" t="s">
        <v>137</v>
      </c>
      <c r="B5" s="689">
        <f>C5*B3</f>
        <v>7895.1896586679932</v>
      </c>
      <c r="C5" s="690">
        <f>1-C4</f>
        <v>0.14475000633116175</v>
      </c>
      <c r="D5" s="691" t="e">
        <f>SUMIFS([24]Ram!G2:G989,[24]Ram!C2:C989,115,[24]Ram!F2:F989,"S")</f>
        <v>#VALUE!</v>
      </c>
      <c r="E5" s="692" t="e">
        <f>D5/$D$3</f>
        <v>#VALUE!</v>
      </c>
      <c r="F5" s="693" t="e">
        <f>B5/D5</f>
        <v>#VALUE!</v>
      </c>
    </row>
    <row r="6" spans="1:40" ht="15" customHeight="1">
      <c r="A6" s="694"/>
      <c r="B6" s="694"/>
      <c r="C6" s="695"/>
      <c r="E6" s="695"/>
      <c r="L6" s="696" t="s">
        <v>387</v>
      </c>
      <c r="M6" s="697">
        <f>[24]ENERGIA!L17</f>
        <v>9737.3291154014005</v>
      </c>
      <c r="N6" s="698" t="s">
        <v>388</v>
      </c>
    </row>
    <row r="7" spans="1:40" ht="15" customHeight="1">
      <c r="A7" s="699" t="s">
        <v>389</v>
      </c>
      <c r="B7" s="673">
        <f>60574.3867290386-11500</f>
        <v>49074.386729038597</v>
      </c>
      <c r="C7" s="674">
        <v>1</v>
      </c>
      <c r="D7" s="700" t="e">
        <f>SUMIF([24]Ram!F3:F989,"SD",[24]Ram!G3:G989)</f>
        <v>#VALUE!</v>
      </c>
      <c r="E7" s="674">
        <v>1</v>
      </c>
      <c r="F7" s="701" t="e">
        <f>IF(B7&gt;0,B7/D7,0)</f>
        <v>#VALUE!</v>
      </c>
      <c r="H7" s="672" t="s">
        <v>390</v>
      </c>
      <c r="I7" s="677">
        <v>0</v>
      </c>
      <c r="J7" s="678" t="s">
        <v>386</v>
      </c>
      <c r="L7" s="702" t="s">
        <v>391</v>
      </c>
      <c r="M7" s="703">
        <f>[24]ENERGIA!L2</f>
        <v>11181.051490669599</v>
      </c>
      <c r="N7" s="704" t="s">
        <v>388</v>
      </c>
    </row>
    <row r="9" spans="1:40" ht="15" customHeight="1">
      <c r="A9" s="1238" t="s">
        <v>272</v>
      </c>
      <c r="B9" s="1238"/>
      <c r="C9" s="1238"/>
      <c r="D9" s="1238"/>
      <c r="E9" s="1238"/>
      <c r="F9" s="1238"/>
      <c r="G9" s="1238"/>
      <c r="H9" s="1238"/>
      <c r="I9" s="1238"/>
      <c r="J9" s="1238"/>
      <c r="K9" s="1238"/>
      <c r="L9" s="1238"/>
    </row>
    <row r="10" spans="1:40" ht="15" customHeight="1">
      <c r="A10" s="705" t="s">
        <v>392</v>
      </c>
      <c r="B10" s="706">
        <v>1</v>
      </c>
      <c r="C10" s="707">
        <v>2</v>
      </c>
      <c r="D10" s="707">
        <v>3</v>
      </c>
      <c r="E10" s="707">
        <v>4</v>
      </c>
      <c r="F10" s="707">
        <v>5</v>
      </c>
      <c r="G10" s="707">
        <v>6</v>
      </c>
      <c r="H10" s="707">
        <v>7</v>
      </c>
      <c r="I10" s="707">
        <v>8</v>
      </c>
      <c r="J10" s="707">
        <v>9</v>
      </c>
      <c r="K10" s="708">
        <v>10</v>
      </c>
      <c r="L10" s="709" t="s">
        <v>16</v>
      </c>
    </row>
    <row r="11" spans="1:40" ht="15" customHeight="1">
      <c r="A11" s="710" t="s">
        <v>141</v>
      </c>
      <c r="B11" s="711">
        <f t="shared" ref="B11:K11" si="0">SUMIF($S$17:$S$1015,B$10,$N$17:$N$1059)</f>
        <v>212.7946</v>
      </c>
      <c r="C11" s="711">
        <f t="shared" si="0"/>
        <v>537.79999999999995</v>
      </c>
      <c r="D11" s="711">
        <f t="shared" si="0"/>
        <v>155.26999999999998</v>
      </c>
      <c r="E11" s="711">
        <f t="shared" si="0"/>
        <v>334.7</v>
      </c>
      <c r="F11" s="711">
        <f t="shared" si="0"/>
        <v>129.55325200000001</v>
      </c>
      <c r="G11" s="711">
        <f t="shared" si="0"/>
        <v>149</v>
      </c>
      <c r="H11" s="711">
        <f t="shared" si="0"/>
        <v>105.8</v>
      </c>
      <c r="I11" s="711">
        <f t="shared" si="0"/>
        <v>260</v>
      </c>
      <c r="J11" s="711">
        <f t="shared" si="0"/>
        <v>774.45</v>
      </c>
      <c r="K11" s="711">
        <f t="shared" si="0"/>
        <v>252.17</v>
      </c>
      <c r="L11" s="712">
        <f>SUM(B11:K11)</f>
        <v>2911.5378519999999</v>
      </c>
      <c r="M11" s="713">
        <f>SUM(D17,D37,D45,D53,D96,D145,D152,D159,D162,D171)</f>
        <v>4038.9042209999998</v>
      </c>
    </row>
    <row r="12" spans="1:40" ht="15" customHeight="1">
      <c r="A12" s="714" t="s">
        <v>142</v>
      </c>
      <c r="B12" s="715">
        <f t="shared" ref="B12:K12" si="1">SUMIF($T$17:$T$1006,B$10,$AF$17:$AF$1006)</f>
        <v>16.919999999999998</v>
      </c>
      <c r="C12" s="715">
        <f t="shared" si="1"/>
        <v>0</v>
      </c>
      <c r="D12" s="715">
        <f t="shared" si="1"/>
        <v>0.1</v>
      </c>
      <c r="E12" s="715">
        <f t="shared" si="1"/>
        <v>121.6</v>
      </c>
      <c r="F12" s="715">
        <f t="shared" si="1"/>
        <v>466.95</v>
      </c>
      <c r="G12" s="715">
        <f t="shared" si="1"/>
        <v>174.70999999999998</v>
      </c>
      <c r="H12" s="715">
        <f t="shared" si="1"/>
        <v>1014.5791169999999</v>
      </c>
      <c r="I12" s="715">
        <f t="shared" si="1"/>
        <v>1.34</v>
      </c>
      <c r="J12" s="715">
        <f t="shared" si="1"/>
        <v>116.14</v>
      </c>
      <c r="K12" s="715">
        <f t="shared" si="1"/>
        <v>44.32</v>
      </c>
      <c r="L12" s="716">
        <f>SUM(B12:K12)</f>
        <v>1956.6591169999999</v>
      </c>
      <c r="M12" s="713">
        <f>SUM(AI17,AI22,AI24,AI28,AI33,AI43,AI50,AI68,AI72,AI80)</f>
        <v>2200.13</v>
      </c>
    </row>
    <row r="13" spans="1:40" ht="15" customHeight="1">
      <c r="M13" s="717"/>
    </row>
    <row r="14" spans="1:40" ht="15" customHeight="1">
      <c r="W14" s="718">
        <f t="shared" ref="W14:AI14" si="2">+W17+W22+W24+W28+W33+W43+W50+W68+W72+W80</f>
        <v>1778.4082769999998</v>
      </c>
      <c r="X14" s="718">
        <f t="shared" si="2"/>
        <v>1837.7390619999996</v>
      </c>
      <c r="Y14" s="718">
        <f t="shared" si="2"/>
        <v>1816.97</v>
      </c>
      <c r="Z14" s="718">
        <f t="shared" si="2"/>
        <v>1727.0200000000002</v>
      </c>
      <c r="AA14" s="718">
        <f t="shared" si="2"/>
        <v>1822.1856699999998</v>
      </c>
      <c r="AB14" s="718">
        <f t="shared" si="2"/>
        <v>2004.1534630000001</v>
      </c>
      <c r="AC14" s="718">
        <f t="shared" si="2"/>
        <v>1811.3636560000002</v>
      </c>
      <c r="AD14" s="718">
        <f t="shared" si="2"/>
        <v>1893.3384029999997</v>
      </c>
      <c r="AE14" s="718">
        <f t="shared" si="2"/>
        <v>1963.176285</v>
      </c>
      <c r="AF14" s="718">
        <f t="shared" si="2"/>
        <v>1956.6591169999999</v>
      </c>
      <c r="AG14" s="718">
        <f t="shared" si="2"/>
        <v>1843.1727960000001</v>
      </c>
      <c r="AH14" s="718">
        <f t="shared" si="2"/>
        <v>1796.9481169999997</v>
      </c>
      <c r="AI14" s="718">
        <f t="shared" si="2"/>
        <v>2200.13</v>
      </c>
      <c r="AK14" s="719"/>
      <c r="AL14" s="719"/>
      <c r="AM14" s="719"/>
      <c r="AN14" s="719"/>
    </row>
    <row r="15" spans="1:40" ht="15" customHeight="1">
      <c r="A15" s="720" t="s">
        <v>393</v>
      </c>
      <c r="B15" s="721"/>
      <c r="C15" s="721"/>
      <c r="D15" s="722">
        <f t="shared" ref="D15:P15" si="3">+D17+D37+D45+D53+D96+D145+D152+D159+D162+D171</f>
        <v>4038.9042209999998</v>
      </c>
      <c r="E15" s="722">
        <f t="shared" si="3"/>
        <v>3056.3445999999999</v>
      </c>
      <c r="F15" s="722">
        <f t="shared" si="3"/>
        <v>2964.7646</v>
      </c>
      <c r="G15" s="722">
        <f t="shared" si="3"/>
        <v>2928.0946000000004</v>
      </c>
      <c r="H15" s="722">
        <f t="shared" si="3"/>
        <v>2958.2146000000002</v>
      </c>
      <c r="I15" s="722">
        <f t="shared" si="3"/>
        <v>2913.2646</v>
      </c>
      <c r="J15" s="722">
        <f t="shared" si="3"/>
        <v>2756.7146000000002</v>
      </c>
      <c r="K15" s="722">
        <f t="shared" si="3"/>
        <v>2872.5346</v>
      </c>
      <c r="L15" s="722">
        <f t="shared" si="3"/>
        <v>2953.4546</v>
      </c>
      <c r="M15" s="722">
        <f t="shared" si="3"/>
        <v>2989.4146000000001</v>
      </c>
      <c r="N15" s="722">
        <f t="shared" si="3"/>
        <v>2911.5378519999999</v>
      </c>
      <c r="O15" s="722">
        <f t="shared" si="3"/>
        <v>2934.5202319999999</v>
      </c>
      <c r="P15" s="722">
        <f t="shared" si="3"/>
        <v>2961.4791679999998</v>
      </c>
      <c r="Q15" s="721"/>
      <c r="R15" s="721"/>
      <c r="S15" s="723"/>
      <c r="T15" s="720" t="s">
        <v>394</v>
      </c>
      <c r="U15" s="721"/>
      <c r="V15" s="721"/>
      <c r="W15" s="724">
        <v>44378</v>
      </c>
      <c r="X15" s="724">
        <v>44409</v>
      </c>
      <c r="Y15" s="724">
        <v>44440</v>
      </c>
      <c r="Z15" s="724">
        <v>44470</v>
      </c>
      <c r="AA15" s="724">
        <v>44501</v>
      </c>
      <c r="AB15" s="724">
        <v>44531</v>
      </c>
      <c r="AC15" s="724">
        <v>44562</v>
      </c>
      <c r="AD15" s="724">
        <v>44593</v>
      </c>
      <c r="AE15" s="724">
        <v>44621</v>
      </c>
      <c r="AF15" s="724">
        <v>44652</v>
      </c>
      <c r="AG15" s="724">
        <v>44682</v>
      </c>
      <c r="AH15" s="724">
        <v>44713</v>
      </c>
      <c r="AK15" s="725" t="s">
        <v>394</v>
      </c>
      <c r="AL15" s="726"/>
      <c r="AM15" s="726"/>
      <c r="AN15" s="726"/>
    </row>
    <row r="16" spans="1:40" ht="26.4">
      <c r="A16" s="727" t="s">
        <v>145</v>
      </c>
      <c r="B16" s="728"/>
      <c r="C16" s="729" t="s">
        <v>146</v>
      </c>
      <c r="D16" s="730" t="s">
        <v>141</v>
      </c>
      <c r="E16" s="730">
        <v>1</v>
      </c>
      <c r="F16" s="730">
        <v>2</v>
      </c>
      <c r="G16" s="730">
        <v>3</v>
      </c>
      <c r="H16" s="730">
        <v>4</v>
      </c>
      <c r="I16" s="730">
        <v>5</v>
      </c>
      <c r="J16" s="730">
        <v>6</v>
      </c>
      <c r="K16" s="730">
        <v>7</v>
      </c>
      <c r="L16" s="730">
        <v>8</v>
      </c>
      <c r="M16" s="730">
        <v>9</v>
      </c>
      <c r="N16" s="730">
        <v>10</v>
      </c>
      <c r="O16" s="730">
        <v>11</v>
      </c>
      <c r="P16" s="730">
        <v>12</v>
      </c>
      <c r="Q16" s="730" t="s">
        <v>147</v>
      </c>
      <c r="R16" s="731"/>
      <c r="S16" s="731"/>
      <c r="T16" s="732" t="s">
        <v>145</v>
      </c>
      <c r="U16" s="733"/>
      <c r="V16" s="734" t="s">
        <v>146</v>
      </c>
      <c r="W16" s="735">
        <v>1</v>
      </c>
      <c r="X16" s="735">
        <v>2</v>
      </c>
      <c r="Y16" s="735">
        <v>3</v>
      </c>
      <c r="Z16" s="735">
        <v>4</v>
      </c>
      <c r="AA16" s="735">
        <v>5</v>
      </c>
      <c r="AB16" s="735">
        <v>6</v>
      </c>
      <c r="AC16" s="735">
        <v>7</v>
      </c>
      <c r="AD16" s="735">
        <v>8</v>
      </c>
      <c r="AE16" s="735">
        <v>9</v>
      </c>
      <c r="AF16" s="735">
        <v>10</v>
      </c>
      <c r="AG16" s="735">
        <v>11</v>
      </c>
      <c r="AH16" s="735">
        <v>12</v>
      </c>
      <c r="AI16" s="735" t="s">
        <v>395</v>
      </c>
      <c r="AJ16" s="731"/>
      <c r="AK16" s="736" t="s">
        <v>145</v>
      </c>
      <c r="AL16" s="737"/>
      <c r="AM16" s="738" t="s">
        <v>146</v>
      </c>
      <c r="AN16" s="739" t="s">
        <v>142</v>
      </c>
    </row>
    <row r="17" spans="1:40" ht="15" customHeight="1">
      <c r="A17" s="740">
        <v>1</v>
      </c>
      <c r="B17" s="741"/>
      <c r="C17" s="742"/>
      <c r="D17" s="743">
        <f>SUM(D18:D29)</f>
        <v>299.69459999999998</v>
      </c>
      <c r="E17" s="743">
        <f>SUM(E18:E22)</f>
        <v>212.7946</v>
      </c>
      <c r="F17" s="743">
        <f>SUM(F18:F22)</f>
        <v>212.7946</v>
      </c>
      <c r="G17" s="743">
        <f>SUM(G18:G22)</f>
        <v>212.7946</v>
      </c>
      <c r="H17" s="743">
        <f>SUM(H18:H22)</f>
        <v>212.7946</v>
      </c>
      <c r="I17" s="743">
        <f t="shared" ref="I17:P17" si="4">SUM(I18:I36)</f>
        <v>212.7946</v>
      </c>
      <c r="J17" s="743">
        <f t="shared" si="4"/>
        <v>212.7946</v>
      </c>
      <c r="K17" s="743">
        <f t="shared" si="4"/>
        <v>212.7946</v>
      </c>
      <c r="L17" s="743">
        <f t="shared" si="4"/>
        <v>212.7946</v>
      </c>
      <c r="M17" s="743">
        <f t="shared" si="4"/>
        <v>212.7946</v>
      </c>
      <c r="N17" s="743">
        <f t="shared" si="4"/>
        <v>212.7946</v>
      </c>
      <c r="O17" s="743">
        <f t="shared" si="4"/>
        <v>212.7946</v>
      </c>
      <c r="P17" s="743">
        <f t="shared" si="4"/>
        <v>212.7946</v>
      </c>
      <c r="Q17" s="744"/>
      <c r="R17" s="717"/>
      <c r="S17" s="717"/>
      <c r="T17" s="745">
        <v>1</v>
      </c>
      <c r="U17" s="741"/>
      <c r="V17" s="742"/>
      <c r="W17" s="743">
        <f>SUM(W18:W21)</f>
        <v>15.010000000000002</v>
      </c>
      <c r="X17" s="743">
        <f t="shared" ref="X17:AI17" si="5">SUM(X18:X21)</f>
        <v>17.7</v>
      </c>
      <c r="Y17" s="743">
        <f t="shared" si="5"/>
        <v>18.38</v>
      </c>
      <c r="Z17" s="743">
        <f t="shared" si="5"/>
        <v>16.41</v>
      </c>
      <c r="AA17" s="743">
        <f t="shared" si="5"/>
        <v>15.86</v>
      </c>
      <c r="AB17" s="743">
        <f t="shared" si="5"/>
        <v>22.990000000000002</v>
      </c>
      <c r="AC17" s="743">
        <f t="shared" si="5"/>
        <v>17.36</v>
      </c>
      <c r="AD17" s="743">
        <f>SUM(AD18:AD21)</f>
        <v>17.22</v>
      </c>
      <c r="AE17" s="743">
        <f t="shared" si="5"/>
        <v>19.48</v>
      </c>
      <c r="AF17" s="743">
        <f t="shared" si="5"/>
        <v>16.919999999999998</v>
      </c>
      <c r="AG17" s="743">
        <f t="shared" si="5"/>
        <v>16.309999999999999</v>
      </c>
      <c r="AH17" s="743">
        <f t="shared" si="5"/>
        <v>14.9</v>
      </c>
      <c r="AI17" s="743">
        <f t="shared" si="5"/>
        <v>23.37</v>
      </c>
      <c r="AJ17" s="717"/>
      <c r="AK17" s="746">
        <v>1</v>
      </c>
      <c r="AL17" s="747"/>
      <c r="AM17" s="748"/>
      <c r="AN17" s="749">
        <v>40.409999999999997</v>
      </c>
    </row>
    <row r="18" spans="1:40" ht="15" customHeight="1">
      <c r="A18" s="750" t="s">
        <v>83</v>
      </c>
      <c r="C18" s="751">
        <v>6014</v>
      </c>
      <c r="D18" s="752">
        <v>87.6</v>
      </c>
      <c r="E18" s="753">
        <v>87.6</v>
      </c>
      <c r="F18" s="753">
        <v>87.6</v>
      </c>
      <c r="G18" s="753">
        <v>87.6</v>
      </c>
      <c r="H18" s="753">
        <v>87.6</v>
      </c>
      <c r="I18" s="753">
        <v>87.6</v>
      </c>
      <c r="J18" s="753">
        <v>87.6</v>
      </c>
      <c r="K18" s="753">
        <v>87.6</v>
      </c>
      <c r="L18" s="753">
        <v>87.6</v>
      </c>
      <c r="M18" s="753">
        <v>87.6</v>
      </c>
      <c r="N18" s="753">
        <v>87.6</v>
      </c>
      <c r="O18" s="753">
        <v>87.6</v>
      </c>
      <c r="P18" s="753">
        <v>87.6</v>
      </c>
      <c r="Q18" s="754">
        <v>0</v>
      </c>
      <c r="R18" s="755" t="str">
        <f>IFERROR(VLOOKUP($C18,[25]Nod!$A$3:$E$992,4,FALSE)," ")</f>
        <v>PRO230</v>
      </c>
      <c r="S18" s="755">
        <f>IFERROR(VLOOKUP($C18,[25]Nod!$A$3:$E$992,5,FALSE)," ")</f>
        <v>1</v>
      </c>
      <c r="T18" s="756" t="s">
        <v>91</v>
      </c>
      <c r="V18" s="751"/>
      <c r="W18" s="753"/>
      <c r="X18" s="753"/>
      <c r="Y18" s="753"/>
      <c r="Z18" s="753"/>
      <c r="AA18" s="753"/>
      <c r="AB18" s="753"/>
      <c r="AC18" s="753"/>
      <c r="AD18" s="753"/>
      <c r="AE18" s="753"/>
      <c r="AF18" s="753"/>
      <c r="AG18" s="753"/>
      <c r="AH18" s="753"/>
      <c r="AI18" s="753"/>
      <c r="AJ18" s="717"/>
      <c r="AK18" s="757" t="s">
        <v>91</v>
      </c>
      <c r="AL18" s="758"/>
      <c r="AM18" s="759"/>
      <c r="AN18" s="760"/>
    </row>
    <row r="19" spans="1:40" ht="15" customHeight="1">
      <c r="A19" s="750" t="s">
        <v>31</v>
      </c>
      <c r="C19" s="751">
        <v>6014</v>
      </c>
      <c r="D19" s="752">
        <v>57.4</v>
      </c>
      <c r="E19" s="753">
        <v>57.4</v>
      </c>
      <c r="F19" s="753">
        <v>57.4</v>
      </c>
      <c r="G19" s="753">
        <v>57.4</v>
      </c>
      <c r="H19" s="753">
        <v>57.4</v>
      </c>
      <c r="I19" s="753">
        <v>57.4</v>
      </c>
      <c r="J19" s="753">
        <v>57.4</v>
      </c>
      <c r="K19" s="753">
        <v>57.4</v>
      </c>
      <c r="L19" s="753">
        <v>57.4</v>
      </c>
      <c r="M19" s="753">
        <v>57.4</v>
      </c>
      <c r="N19" s="753">
        <v>57.4</v>
      </c>
      <c r="O19" s="753">
        <v>57.4</v>
      </c>
      <c r="P19" s="753">
        <v>57.4</v>
      </c>
      <c r="Q19" s="754">
        <v>0</v>
      </c>
      <c r="R19" s="755" t="str">
        <f>IFERROR(VLOOKUP($C19,[25]Nod!$A$3:$E$992,4,FALSE)," ")</f>
        <v>PRO230</v>
      </c>
      <c r="S19" s="755">
        <f>IFERROR(VLOOKUP($C19,[25]Nod!$A$3:$E$992,5,FALSE)," ")</f>
        <v>1</v>
      </c>
      <c r="T19" s="761" t="s">
        <v>148</v>
      </c>
      <c r="V19" s="751">
        <v>6014</v>
      </c>
      <c r="W19" s="753">
        <f>+'[26]Resumen Modelo'!G9</f>
        <v>14.47</v>
      </c>
      <c r="X19" s="753">
        <f>+'[26]Resumen Modelo'!H9</f>
        <v>16.75</v>
      </c>
      <c r="Y19" s="753">
        <f>+'[26]Resumen Modelo'!I9</f>
        <v>17.5</v>
      </c>
      <c r="Z19" s="753">
        <f>+'[26]Resumen Modelo'!J9</f>
        <v>15.41</v>
      </c>
      <c r="AA19" s="753">
        <f>+'[26]Resumen Modelo'!K9</f>
        <v>14.94</v>
      </c>
      <c r="AB19" s="753">
        <f>+'[26]Resumen Modelo'!L9</f>
        <v>22.37</v>
      </c>
      <c r="AC19" s="753">
        <f>+'[26]Resumen Modelo'!M9</f>
        <v>16.68</v>
      </c>
      <c r="AD19" s="753">
        <f>+'[26]Resumen Modelo'!N9</f>
        <v>16.38</v>
      </c>
      <c r="AE19" s="753">
        <f>+'[26]Resumen Modelo'!O9</f>
        <v>18.62</v>
      </c>
      <c r="AF19" s="753">
        <f>+'[26]Resumen Modelo'!P9</f>
        <v>16.329999999999998</v>
      </c>
      <c r="AG19" s="753">
        <f>+'[26]Resumen Modelo'!Q9</f>
        <v>15.68</v>
      </c>
      <c r="AH19" s="753">
        <f>+'[26]Resumen Modelo'!R9</f>
        <v>14.3</v>
      </c>
      <c r="AI19" s="753">
        <f>+MAX(W19:AH19)</f>
        <v>22.37</v>
      </c>
      <c r="AJ19" s="717" t="str">
        <f>IFERROR(VLOOKUP($V19,#REF!,4,FALSE)," ")</f>
        <v xml:space="preserve"> </v>
      </c>
      <c r="AK19" s="762" t="s">
        <v>396</v>
      </c>
      <c r="AL19" s="758"/>
      <c r="AM19" s="759">
        <v>6014</v>
      </c>
      <c r="AN19" s="760">
        <v>39.01</v>
      </c>
    </row>
    <row r="20" spans="1:40" ht="15" customHeight="1">
      <c r="A20" s="750" t="s">
        <v>397</v>
      </c>
      <c r="C20" s="751">
        <v>6014</v>
      </c>
      <c r="D20" s="752">
        <v>30</v>
      </c>
      <c r="E20" s="753">
        <v>30</v>
      </c>
      <c r="F20" s="753">
        <v>30</v>
      </c>
      <c r="G20" s="753">
        <v>30</v>
      </c>
      <c r="H20" s="753">
        <v>30</v>
      </c>
      <c r="I20" s="753">
        <v>30</v>
      </c>
      <c r="J20" s="753">
        <v>30</v>
      </c>
      <c r="K20" s="753">
        <v>30</v>
      </c>
      <c r="L20" s="753">
        <v>30</v>
      </c>
      <c r="M20" s="753">
        <v>30</v>
      </c>
      <c r="N20" s="753">
        <v>30</v>
      </c>
      <c r="O20" s="753">
        <v>30</v>
      </c>
      <c r="P20" s="753">
        <v>30</v>
      </c>
      <c r="Q20" s="754">
        <v>0</v>
      </c>
      <c r="R20" s="755" t="str">
        <f>IFERROR(VLOOKUP($C20,[25]Nod!$A$3:$E$992,4,FALSE)," ")</f>
        <v>PRO230</v>
      </c>
      <c r="S20" s="755">
        <f>IFERROR(VLOOKUP($C20,[25]Nod!$A$3:$E$992,5,FALSE)," ")</f>
        <v>1</v>
      </c>
      <c r="T20" s="761" t="s">
        <v>150</v>
      </c>
      <c r="V20" s="751">
        <v>6014</v>
      </c>
      <c r="W20" s="753">
        <f>+'[26]Resumen Modelo'!G10</f>
        <v>0.54</v>
      </c>
      <c r="X20" s="753">
        <f>+'[26]Resumen Modelo'!H10</f>
        <v>0.95</v>
      </c>
      <c r="Y20" s="753">
        <f>+'[26]Resumen Modelo'!I10</f>
        <v>0.88</v>
      </c>
      <c r="Z20" s="753">
        <f>+'[26]Resumen Modelo'!J10</f>
        <v>1</v>
      </c>
      <c r="AA20" s="753">
        <f>+'[26]Resumen Modelo'!K10</f>
        <v>0.92</v>
      </c>
      <c r="AB20" s="753">
        <f>+'[26]Resumen Modelo'!L10</f>
        <v>0.62</v>
      </c>
      <c r="AC20" s="753">
        <f>+'[26]Resumen Modelo'!M10</f>
        <v>0.68</v>
      </c>
      <c r="AD20" s="753">
        <f>+'[26]Resumen Modelo'!N10</f>
        <v>0.84</v>
      </c>
      <c r="AE20" s="753">
        <f>+'[26]Resumen Modelo'!O10</f>
        <v>0.86</v>
      </c>
      <c r="AF20" s="753">
        <f>+'[26]Resumen Modelo'!P10</f>
        <v>0.59</v>
      </c>
      <c r="AG20" s="753">
        <f>+'[26]Resumen Modelo'!Q10</f>
        <v>0.63</v>
      </c>
      <c r="AH20" s="753">
        <f>+'[26]Resumen Modelo'!R10</f>
        <v>0.6</v>
      </c>
      <c r="AI20" s="753">
        <f>+MAX(W20:AH20)</f>
        <v>1</v>
      </c>
      <c r="AJ20" s="717" t="str">
        <f>IFERROR(VLOOKUP($V20,#REF!,4,FALSE)," ")</f>
        <v xml:space="preserve"> </v>
      </c>
      <c r="AK20" s="762" t="s">
        <v>150</v>
      </c>
      <c r="AL20" s="758"/>
      <c r="AM20" s="759">
        <v>6014</v>
      </c>
      <c r="AN20" s="760">
        <v>1.4</v>
      </c>
    </row>
    <row r="21" spans="1:40" ht="15" customHeight="1">
      <c r="A21" s="750" t="s">
        <v>398</v>
      </c>
      <c r="C21" s="751">
        <v>6014</v>
      </c>
      <c r="D21" s="752">
        <v>27.9</v>
      </c>
      <c r="E21" s="753">
        <v>27.9</v>
      </c>
      <c r="F21" s="753">
        <v>27.9</v>
      </c>
      <c r="G21" s="753">
        <v>27.9</v>
      </c>
      <c r="H21" s="753">
        <v>27.9</v>
      </c>
      <c r="I21" s="753">
        <v>27.9</v>
      </c>
      <c r="J21" s="753">
        <v>27.9</v>
      </c>
      <c r="K21" s="753">
        <v>27.9</v>
      </c>
      <c r="L21" s="753">
        <v>27.9</v>
      </c>
      <c r="M21" s="753">
        <v>27.9</v>
      </c>
      <c r="N21" s="753">
        <v>27.9</v>
      </c>
      <c r="O21" s="753">
        <v>27.9</v>
      </c>
      <c r="P21" s="753">
        <v>27.9</v>
      </c>
      <c r="Q21" s="754">
        <v>0</v>
      </c>
      <c r="R21" s="755" t="str">
        <f>IFERROR(VLOOKUP($C21,[25]Nod!$A$3:$E$992,4,FALSE)," ")</f>
        <v>PRO230</v>
      </c>
      <c r="S21" s="755">
        <f>IFERROR(VLOOKUP($C21,[25]Nod!$A$3:$E$992,5,FALSE)," ")</f>
        <v>1</v>
      </c>
      <c r="T21" s="763" t="s">
        <v>151</v>
      </c>
      <c r="U21" s="764"/>
      <c r="V21" s="765"/>
      <c r="W21" s="753">
        <f>+'[26]Resumen Modelo'!G11</f>
        <v>0</v>
      </c>
      <c r="X21" s="753">
        <f>+'[26]Resumen Modelo'!H11</f>
        <v>0</v>
      </c>
      <c r="Y21" s="753">
        <f>+'[26]Resumen Modelo'!I11</f>
        <v>0</v>
      </c>
      <c r="Z21" s="753">
        <f>+'[26]Resumen Modelo'!J11</f>
        <v>0</v>
      </c>
      <c r="AA21" s="753">
        <f>+'[26]Resumen Modelo'!K11</f>
        <v>0</v>
      </c>
      <c r="AB21" s="753">
        <f>+'[26]Resumen Modelo'!L11</f>
        <v>0</v>
      </c>
      <c r="AC21" s="753">
        <f>+'[26]Resumen Modelo'!M11</f>
        <v>0</v>
      </c>
      <c r="AD21" s="753">
        <f>+'[26]Resumen Modelo'!N11</f>
        <v>0</v>
      </c>
      <c r="AE21" s="753">
        <f>+'[26]Resumen Modelo'!O11</f>
        <v>0</v>
      </c>
      <c r="AF21" s="753">
        <f>+'[26]Resumen Modelo'!P11</f>
        <v>0</v>
      </c>
      <c r="AG21" s="753">
        <f>+'[26]Resumen Modelo'!Q11</f>
        <v>0</v>
      </c>
      <c r="AH21" s="753">
        <f>+'[26]Resumen Modelo'!R11</f>
        <v>0</v>
      </c>
      <c r="AI21" s="766"/>
      <c r="AJ21" s="717" t="str">
        <f>IFERROR(VLOOKUP($V21,#REF!,4,FALSE)," ")</f>
        <v xml:space="preserve"> </v>
      </c>
      <c r="AK21" s="767" t="s">
        <v>151</v>
      </c>
      <c r="AL21" s="768"/>
      <c r="AM21" s="769"/>
      <c r="AN21" s="770"/>
    </row>
    <row r="22" spans="1:40" ht="15" customHeight="1">
      <c r="A22" s="750" t="s">
        <v>399</v>
      </c>
      <c r="C22" s="751">
        <v>6014</v>
      </c>
      <c r="D22" s="752">
        <v>9.8946000000000005</v>
      </c>
      <c r="E22" s="753">
        <v>9.8946000000000005</v>
      </c>
      <c r="F22" s="753">
        <v>9.8946000000000005</v>
      </c>
      <c r="G22" s="753">
        <v>9.8946000000000005</v>
      </c>
      <c r="H22" s="753">
        <v>9.8946000000000005</v>
      </c>
      <c r="I22" s="753">
        <v>9.8946000000000005</v>
      </c>
      <c r="J22" s="753">
        <v>9.8946000000000005</v>
      </c>
      <c r="K22" s="753">
        <v>9.8946000000000005</v>
      </c>
      <c r="L22" s="753">
        <v>9.8946000000000005</v>
      </c>
      <c r="M22" s="753">
        <v>9.8946000000000005</v>
      </c>
      <c r="N22" s="753">
        <v>9.8946000000000005</v>
      </c>
      <c r="O22" s="753">
        <v>9.8946000000000005</v>
      </c>
      <c r="P22" s="753">
        <v>9.8946000000000005</v>
      </c>
      <c r="Q22" s="754">
        <v>0</v>
      </c>
      <c r="R22" s="755" t="str">
        <f>IFERROR(VLOOKUP($C22,[25]Nod!$A$3:$E$992,4,FALSE)," ")</f>
        <v>PRO230</v>
      </c>
      <c r="S22" s="755">
        <f>IFERROR(VLOOKUP($C22,[25]Nod!$A$3:$E$992,5,FALSE)," ")</f>
        <v>1</v>
      </c>
      <c r="T22" s="771">
        <v>2</v>
      </c>
      <c r="U22" s="772"/>
      <c r="V22" s="773"/>
      <c r="W22" s="774">
        <f>+'[26]Resumen Modelo'!G12</f>
        <v>0</v>
      </c>
      <c r="X22" s="774">
        <f>+'[26]Resumen Modelo'!H12</f>
        <v>0</v>
      </c>
      <c r="Y22" s="774">
        <f>+'[26]Resumen Modelo'!I12</f>
        <v>0</v>
      </c>
      <c r="Z22" s="774">
        <f>+'[26]Resumen Modelo'!J12</f>
        <v>0</v>
      </c>
      <c r="AA22" s="774">
        <f>+'[26]Resumen Modelo'!K12</f>
        <v>0</v>
      </c>
      <c r="AB22" s="774">
        <f>+'[26]Resumen Modelo'!L12</f>
        <v>0</v>
      </c>
      <c r="AC22" s="774">
        <f>+'[26]Resumen Modelo'!M12</f>
        <v>0</v>
      </c>
      <c r="AD22" s="774">
        <f>+'[26]Resumen Modelo'!N12</f>
        <v>0</v>
      </c>
      <c r="AE22" s="774">
        <f>+'[26]Resumen Modelo'!O12</f>
        <v>0</v>
      </c>
      <c r="AF22" s="774">
        <f>+'[26]Resumen Modelo'!P12</f>
        <v>0</v>
      </c>
      <c r="AG22" s="774">
        <f>+'[26]Resumen Modelo'!Q12</f>
        <v>0</v>
      </c>
      <c r="AH22" s="774">
        <f>+'[26]Resumen Modelo'!R12</f>
        <v>0</v>
      </c>
      <c r="AI22" s="774">
        <f>SUM(AI23)</f>
        <v>0</v>
      </c>
      <c r="AJ22" s="717"/>
      <c r="AK22" s="775">
        <v>2</v>
      </c>
      <c r="AL22" s="776"/>
      <c r="AM22" s="777"/>
      <c r="AN22" s="778">
        <v>0</v>
      </c>
    </row>
    <row r="23" spans="1:40" ht="15" customHeight="1">
      <c r="A23" s="750" t="s">
        <v>400</v>
      </c>
      <c r="C23" s="751">
        <v>6014</v>
      </c>
      <c r="D23" s="752">
        <v>10</v>
      </c>
      <c r="E23" s="753"/>
      <c r="F23" s="753"/>
      <c r="G23" s="753"/>
      <c r="H23" s="753"/>
      <c r="I23" s="753"/>
      <c r="J23" s="753"/>
      <c r="K23" s="753"/>
      <c r="L23" s="753"/>
      <c r="M23" s="753"/>
      <c r="N23" s="753"/>
      <c r="O23" s="753"/>
      <c r="P23" s="753"/>
      <c r="Q23" s="779">
        <v>13</v>
      </c>
      <c r="R23" s="755" t="str">
        <f>IFERROR(VLOOKUP($C23,[25]Nod!$A$3:$E$992,4,FALSE)," ")</f>
        <v>PRO230</v>
      </c>
      <c r="S23" s="755">
        <f>IFERROR(VLOOKUP($C23,[25]Nod!$A$3:$E$992,5,FALSE)," ")</f>
        <v>1</v>
      </c>
      <c r="T23" s="763" t="s">
        <v>151</v>
      </c>
      <c r="U23" s="764"/>
      <c r="V23" s="765"/>
      <c r="W23" s="753">
        <f>+'[26]Resumen Modelo'!G13</f>
        <v>0</v>
      </c>
      <c r="X23" s="753">
        <f>+'[26]Resumen Modelo'!H13</f>
        <v>0</v>
      </c>
      <c r="Y23" s="753">
        <f>+'[26]Resumen Modelo'!I13</f>
        <v>0</v>
      </c>
      <c r="Z23" s="753">
        <f>+'[26]Resumen Modelo'!J13</f>
        <v>0</v>
      </c>
      <c r="AA23" s="753">
        <f>+'[26]Resumen Modelo'!K13</f>
        <v>0</v>
      </c>
      <c r="AB23" s="753">
        <f>+'[26]Resumen Modelo'!L13</f>
        <v>0</v>
      </c>
      <c r="AC23" s="753">
        <f>+'[26]Resumen Modelo'!M13</f>
        <v>0</v>
      </c>
      <c r="AD23" s="753">
        <f>+'[26]Resumen Modelo'!N13</f>
        <v>0</v>
      </c>
      <c r="AE23" s="753">
        <f>+'[26]Resumen Modelo'!O13</f>
        <v>0</v>
      </c>
      <c r="AF23" s="753">
        <f>+'[26]Resumen Modelo'!P13</f>
        <v>0</v>
      </c>
      <c r="AG23" s="753">
        <f>+'[26]Resumen Modelo'!Q13</f>
        <v>0</v>
      </c>
      <c r="AH23" s="753">
        <f>+'[26]Resumen Modelo'!R13</f>
        <v>0</v>
      </c>
      <c r="AI23" s="766"/>
      <c r="AJ23" s="717" t="str">
        <f>IFERROR(VLOOKUP($V22,#REF!,4,FALSE)," ")</f>
        <v xml:space="preserve"> </v>
      </c>
      <c r="AK23" s="767" t="s">
        <v>151</v>
      </c>
      <c r="AL23" s="768"/>
      <c r="AM23" s="769"/>
      <c r="AN23" s="770"/>
    </row>
    <row r="24" spans="1:40" ht="15" customHeight="1">
      <c r="A24" s="750" t="s">
        <v>401</v>
      </c>
      <c r="C24" s="751">
        <v>6014</v>
      </c>
      <c r="D24" s="752">
        <v>6</v>
      </c>
      <c r="E24" s="753"/>
      <c r="F24" s="753"/>
      <c r="G24" s="753"/>
      <c r="H24" s="753"/>
      <c r="I24" s="753"/>
      <c r="J24" s="753"/>
      <c r="K24" s="753"/>
      <c r="L24" s="753"/>
      <c r="M24" s="753"/>
      <c r="N24" s="753"/>
      <c r="O24" s="753"/>
      <c r="P24" s="753"/>
      <c r="Q24" s="779">
        <v>13</v>
      </c>
      <c r="R24" s="755" t="str">
        <f>IFERROR(VLOOKUP($C24,[25]Nod!$A$3:$E$992,4,FALSE)," ")</f>
        <v>PRO230</v>
      </c>
      <c r="S24" s="755">
        <f>IFERROR(VLOOKUP($C24,[25]Nod!$A$3:$E$992,5,FALSE)," ")</f>
        <v>1</v>
      </c>
      <c r="T24" s="745">
        <v>3</v>
      </c>
      <c r="U24" s="741"/>
      <c r="V24" s="742"/>
      <c r="W24" s="780">
        <f>SUM(W25:W27)</f>
        <v>0.06</v>
      </c>
      <c r="X24" s="774">
        <f>+'[26]Resumen Modelo'!H14</f>
        <v>0.1</v>
      </c>
      <c r="Y24" s="774">
        <f>+'[26]Resumen Modelo'!I14</f>
        <v>0.09</v>
      </c>
      <c r="Z24" s="774">
        <f>+'[26]Resumen Modelo'!J14</f>
        <v>0.1</v>
      </c>
      <c r="AA24" s="774">
        <f>+'[26]Resumen Modelo'!K14</f>
        <v>0.06</v>
      </c>
      <c r="AB24" s="774">
        <f>+'[26]Resumen Modelo'!L14</f>
        <v>0.06</v>
      </c>
      <c r="AC24" s="774">
        <f>+'[26]Resumen Modelo'!M14</f>
        <v>0.09</v>
      </c>
      <c r="AD24" s="774">
        <f>+'[26]Resumen Modelo'!N14</f>
        <v>0.1</v>
      </c>
      <c r="AE24" s="774">
        <f>+'[26]Resumen Modelo'!O14</f>
        <v>0.06</v>
      </c>
      <c r="AF24" s="774">
        <f>+'[26]Resumen Modelo'!P14</f>
        <v>0.1</v>
      </c>
      <c r="AG24" s="774">
        <f>+'[26]Resumen Modelo'!Q14</f>
        <v>0.09</v>
      </c>
      <c r="AH24" s="774">
        <f>+'[26]Resumen Modelo'!R14</f>
        <v>0.09</v>
      </c>
      <c r="AI24" s="743">
        <f>SUM(AI25:AI27)</f>
        <v>0.1</v>
      </c>
      <c r="AJ24" s="717" t="str">
        <f>IFERROR(VLOOKUP($V23,#REF!,4,FALSE)," ")</f>
        <v xml:space="preserve"> </v>
      </c>
      <c r="AK24" s="746">
        <v>3</v>
      </c>
      <c r="AL24" s="747"/>
      <c r="AM24" s="748"/>
      <c r="AN24" s="749">
        <v>0.11</v>
      </c>
    </row>
    <row r="25" spans="1:40" ht="13.8">
      <c r="A25" s="781" t="s">
        <v>402</v>
      </c>
      <c r="C25" s="751">
        <v>6014</v>
      </c>
      <c r="D25" s="752">
        <v>10</v>
      </c>
      <c r="E25" s="753"/>
      <c r="F25" s="753"/>
      <c r="G25" s="753"/>
      <c r="H25" s="753"/>
      <c r="I25" s="753"/>
      <c r="J25" s="753"/>
      <c r="K25" s="753"/>
      <c r="L25" s="753"/>
      <c r="M25" s="753"/>
      <c r="N25" s="753"/>
      <c r="O25" s="753"/>
      <c r="P25" s="753"/>
      <c r="Q25" s="779"/>
      <c r="R25" s="755" t="str">
        <f>IFERROR(VLOOKUP($C25,[25]Nod!$A$3:$E$992,4,FALSE)," ")</f>
        <v>PRO230</v>
      </c>
      <c r="S25" s="755">
        <f>IFERROR(VLOOKUP($C25,[25]Nod!$A$3:$E$992,5,FALSE)," ")</f>
        <v>1</v>
      </c>
      <c r="T25" s="756" t="s">
        <v>91</v>
      </c>
      <c r="V25" s="751"/>
      <c r="W25" s="753">
        <f>+'[26]Resumen Modelo'!G15</f>
        <v>0</v>
      </c>
      <c r="X25" s="753">
        <f>+'[26]Resumen Modelo'!H15</f>
        <v>0</v>
      </c>
      <c r="Y25" s="753">
        <f>+'[26]Resumen Modelo'!I15</f>
        <v>0</v>
      </c>
      <c r="Z25" s="753">
        <f>+'[26]Resumen Modelo'!J15</f>
        <v>0</v>
      </c>
      <c r="AA25" s="753">
        <f>+'[26]Resumen Modelo'!K15</f>
        <v>0</v>
      </c>
      <c r="AB25" s="753">
        <f>+'[26]Resumen Modelo'!L15</f>
        <v>0</v>
      </c>
      <c r="AC25" s="753">
        <f>+'[26]Resumen Modelo'!M15</f>
        <v>0</v>
      </c>
      <c r="AD25" s="753">
        <f>+'[26]Resumen Modelo'!N15</f>
        <v>0</v>
      </c>
      <c r="AE25" s="753">
        <f>+'[26]Resumen Modelo'!O15</f>
        <v>0</v>
      </c>
      <c r="AF25" s="753">
        <f>+'[26]Resumen Modelo'!P15</f>
        <v>0</v>
      </c>
      <c r="AG25" s="753">
        <f>+'[26]Resumen Modelo'!Q15</f>
        <v>0</v>
      </c>
      <c r="AH25" s="753">
        <f>+'[26]Resumen Modelo'!R15</f>
        <v>0</v>
      </c>
      <c r="AI25" s="753"/>
      <c r="AJ25" s="717"/>
      <c r="AK25" s="746"/>
      <c r="AL25" s="747"/>
      <c r="AM25" s="748"/>
      <c r="AN25" s="749"/>
    </row>
    <row r="26" spans="1:40" ht="13.8">
      <c r="A26" s="781" t="s">
        <v>403</v>
      </c>
      <c r="C26" s="751">
        <v>6014</v>
      </c>
      <c r="D26" s="752">
        <v>10</v>
      </c>
      <c r="E26" s="753"/>
      <c r="F26" s="753"/>
      <c r="G26" s="753"/>
      <c r="H26" s="753"/>
      <c r="I26" s="753"/>
      <c r="J26" s="753"/>
      <c r="K26" s="753"/>
      <c r="L26" s="753"/>
      <c r="M26" s="753"/>
      <c r="N26" s="753"/>
      <c r="O26" s="753"/>
      <c r="P26" s="753"/>
      <c r="Q26" s="779"/>
      <c r="R26" s="755" t="str">
        <f>IFERROR(VLOOKUP($C26,[25]Nod!$A$3:$E$992,4,FALSE)," ")</f>
        <v>PRO230</v>
      </c>
      <c r="S26" s="755">
        <f>IFERROR(VLOOKUP($C26,[25]Nod!$A$3:$E$992,5,FALSE)," ")</f>
        <v>1</v>
      </c>
      <c r="T26" s="761" t="s">
        <v>92</v>
      </c>
      <c r="V26" s="751">
        <v>6087</v>
      </c>
      <c r="W26" s="753">
        <f>+'[26]Resumen Modelo'!G16</f>
        <v>0.06</v>
      </c>
      <c r="X26" s="753">
        <f>+'[26]Resumen Modelo'!H16</f>
        <v>0.1</v>
      </c>
      <c r="Y26" s="753">
        <f>+'[26]Resumen Modelo'!I16</f>
        <v>0.09</v>
      </c>
      <c r="Z26" s="753">
        <f>+'[26]Resumen Modelo'!J16</f>
        <v>0.1</v>
      </c>
      <c r="AA26" s="753">
        <f>+'[26]Resumen Modelo'!K16</f>
        <v>0.06</v>
      </c>
      <c r="AB26" s="753">
        <f>+'[26]Resumen Modelo'!L16</f>
        <v>0.06</v>
      </c>
      <c r="AC26" s="753">
        <f>+'[26]Resumen Modelo'!M16</f>
        <v>0.09</v>
      </c>
      <c r="AD26" s="753">
        <f>+'[26]Resumen Modelo'!N16</f>
        <v>0.1</v>
      </c>
      <c r="AE26" s="753">
        <f>+'[26]Resumen Modelo'!O16</f>
        <v>0.06</v>
      </c>
      <c r="AF26" s="753">
        <f>+'[26]Resumen Modelo'!P16</f>
        <v>0.1</v>
      </c>
      <c r="AG26" s="753">
        <f>+'[26]Resumen Modelo'!Q16</f>
        <v>0.09</v>
      </c>
      <c r="AH26" s="753">
        <f>+'[26]Resumen Modelo'!R16</f>
        <v>0.09</v>
      </c>
      <c r="AI26" s="753">
        <f>+MAX(W26:AH26)</f>
        <v>0.1</v>
      </c>
      <c r="AJ26" s="717"/>
      <c r="AK26" s="757" t="s">
        <v>91</v>
      </c>
      <c r="AL26" s="758"/>
      <c r="AM26" s="759"/>
      <c r="AN26" s="760"/>
    </row>
    <row r="27" spans="1:40" ht="15" customHeight="1">
      <c r="A27" s="750" t="s">
        <v>404</v>
      </c>
      <c r="C27" s="751">
        <v>6014</v>
      </c>
      <c r="D27" s="752">
        <v>20</v>
      </c>
      <c r="E27" s="753"/>
      <c r="F27" s="753"/>
      <c r="G27" s="753"/>
      <c r="H27" s="753"/>
      <c r="I27" s="753"/>
      <c r="J27" s="753"/>
      <c r="K27" s="753"/>
      <c r="L27" s="753"/>
      <c r="M27" s="753"/>
      <c r="N27" s="753"/>
      <c r="O27" s="753"/>
      <c r="P27" s="753"/>
      <c r="Q27" s="779"/>
      <c r="R27" s="755" t="str">
        <f>IFERROR(VLOOKUP($C27,[25]Nod!$A$3:$E$992,4,FALSE)," ")</f>
        <v>PRO230</v>
      </c>
      <c r="S27" s="755">
        <f>IFERROR(VLOOKUP($C27,[25]Nod!$A$3:$E$992,5,FALSE)," ")</f>
        <v>1</v>
      </c>
      <c r="T27" s="782" t="s">
        <v>151</v>
      </c>
      <c r="V27" s="751"/>
      <c r="W27" s="753">
        <f>+'[26]Resumen Modelo'!G17</f>
        <v>0</v>
      </c>
      <c r="X27" s="753">
        <f>+'[26]Resumen Modelo'!H17</f>
        <v>0</v>
      </c>
      <c r="Y27" s="753">
        <f>+'[26]Resumen Modelo'!I17</f>
        <v>0</v>
      </c>
      <c r="Z27" s="753">
        <f>+'[26]Resumen Modelo'!J17</f>
        <v>0</v>
      </c>
      <c r="AA27" s="753">
        <f>+'[26]Resumen Modelo'!K17</f>
        <v>0</v>
      </c>
      <c r="AB27" s="753">
        <f>+'[26]Resumen Modelo'!L17</f>
        <v>0</v>
      </c>
      <c r="AC27" s="753">
        <f>+'[26]Resumen Modelo'!M17</f>
        <v>0</v>
      </c>
      <c r="AD27" s="753">
        <f>+'[26]Resumen Modelo'!N17</f>
        <v>0</v>
      </c>
      <c r="AE27" s="753">
        <f>+'[26]Resumen Modelo'!O17</f>
        <v>0</v>
      </c>
      <c r="AF27" s="753">
        <f>+'[26]Resumen Modelo'!P17</f>
        <v>0</v>
      </c>
      <c r="AG27" s="753">
        <f>+'[26]Resumen Modelo'!Q17</f>
        <v>0</v>
      </c>
      <c r="AH27" s="753">
        <f>+'[26]Resumen Modelo'!R17</f>
        <v>0</v>
      </c>
      <c r="AI27" s="753"/>
      <c r="AJ27" s="717"/>
      <c r="AK27" s="757"/>
      <c r="AL27" s="758"/>
      <c r="AM27" s="759"/>
      <c r="AN27" s="760"/>
    </row>
    <row r="28" spans="1:40" ht="15" customHeight="1">
      <c r="A28" s="750" t="s">
        <v>405</v>
      </c>
      <c r="B28" s="750"/>
      <c r="C28" s="751">
        <v>6014</v>
      </c>
      <c r="D28" s="752">
        <v>25.9</v>
      </c>
      <c r="E28" s="783"/>
      <c r="F28" s="783"/>
      <c r="G28" s="783"/>
      <c r="H28" s="783"/>
      <c r="I28" s="783"/>
      <c r="J28" s="783"/>
      <c r="K28" s="783"/>
      <c r="L28" s="783"/>
      <c r="M28" s="783"/>
      <c r="N28" s="783"/>
      <c r="O28" s="783"/>
      <c r="P28" s="783"/>
      <c r="Q28" s="784">
        <v>0</v>
      </c>
      <c r="R28" s="755" t="str">
        <f>IFERROR(VLOOKUP($C28,[25]Nod!$A$3:$E$992,4,FALSE)," ")</f>
        <v>PRO230</v>
      </c>
      <c r="S28" s="755">
        <f>IFERROR(VLOOKUP($C28,[25]Nod!$A$3:$E$992,5,FALSE)," ")</f>
        <v>1</v>
      </c>
      <c r="T28" s="785">
        <v>4</v>
      </c>
      <c r="U28" s="772"/>
      <c r="V28" s="773"/>
      <c r="W28" s="774">
        <f>SUM(W29:W32)</f>
        <v>106.53</v>
      </c>
      <c r="X28" s="774">
        <f>+'[26]Resumen Modelo'!H18</f>
        <v>115.74</v>
      </c>
      <c r="Y28" s="774">
        <f>+'[26]Resumen Modelo'!I18</f>
        <v>111.65</v>
      </c>
      <c r="Z28" s="774">
        <f>+'[26]Resumen Modelo'!J18</f>
        <v>114.88</v>
      </c>
      <c r="AA28" s="774">
        <f>+'[26]Resumen Modelo'!K18</f>
        <v>112.52</v>
      </c>
      <c r="AB28" s="774">
        <f>+'[26]Resumen Modelo'!L18</f>
        <v>107.92</v>
      </c>
      <c r="AC28" s="774">
        <f>+'[26]Resumen Modelo'!M18</f>
        <v>101.83</v>
      </c>
      <c r="AD28" s="774">
        <f>+'[26]Resumen Modelo'!N18</f>
        <v>103.17</v>
      </c>
      <c r="AE28" s="774">
        <f>+'[26]Resumen Modelo'!O18</f>
        <v>122.86</v>
      </c>
      <c r="AF28" s="774">
        <f>+'[26]Resumen Modelo'!P18</f>
        <v>121.6</v>
      </c>
      <c r="AG28" s="774">
        <f>+'[26]Resumen Modelo'!Q18</f>
        <v>112.16</v>
      </c>
      <c r="AH28" s="774">
        <f>+'[26]Resumen Modelo'!R18</f>
        <v>103.78</v>
      </c>
      <c r="AI28" s="774">
        <f>SUM(AI29:AI32)</f>
        <v>122.86</v>
      </c>
      <c r="AJ28" s="717" t="str">
        <f>IFERROR(VLOOKUP($V24,#REF!,4,FALSE)," ")</f>
        <v xml:space="preserve"> </v>
      </c>
      <c r="AK28" s="757"/>
      <c r="AL28" s="758"/>
      <c r="AM28" s="759"/>
      <c r="AN28" s="760"/>
    </row>
    <row r="29" spans="1:40" ht="15" customHeight="1">
      <c r="A29" s="750" t="s">
        <v>406</v>
      </c>
      <c r="B29" s="750"/>
      <c r="C29" s="751">
        <v>6014</v>
      </c>
      <c r="D29" s="752">
        <v>5</v>
      </c>
      <c r="E29" s="783"/>
      <c r="F29" s="783"/>
      <c r="G29" s="783"/>
      <c r="H29" s="783"/>
      <c r="I29" s="783"/>
      <c r="J29" s="783"/>
      <c r="K29" s="783"/>
      <c r="L29" s="783"/>
      <c r="M29" s="783"/>
      <c r="N29" s="783"/>
      <c r="O29" s="783"/>
      <c r="P29" s="783"/>
      <c r="Q29" s="784">
        <v>0</v>
      </c>
      <c r="R29" s="755" t="str">
        <f>IFERROR(VLOOKUP($C29,[25]Nod!$A$3:$E$992,4,FALSE)," ")</f>
        <v>PRO230</v>
      </c>
      <c r="S29" s="755">
        <f>IFERROR(VLOOKUP($C29,[25]Nod!$A$3:$E$992,5,FALSE)," ")</f>
        <v>1</v>
      </c>
      <c r="T29" s="756" t="s">
        <v>91</v>
      </c>
      <c r="V29" s="751"/>
      <c r="W29" s="753">
        <f>+'[26]Resumen Modelo'!G19</f>
        <v>0</v>
      </c>
      <c r="X29" s="753">
        <f>+'[26]Resumen Modelo'!H19</f>
        <v>0</v>
      </c>
      <c r="Y29" s="753">
        <f>+'[26]Resumen Modelo'!I19</f>
        <v>0</v>
      </c>
      <c r="Z29" s="753">
        <f>+'[26]Resumen Modelo'!J19</f>
        <v>0</v>
      </c>
      <c r="AA29" s="753">
        <f>+'[26]Resumen Modelo'!K19</f>
        <v>0</v>
      </c>
      <c r="AB29" s="753">
        <f>+'[26]Resumen Modelo'!L19</f>
        <v>0</v>
      </c>
      <c r="AC29" s="753">
        <f>+'[26]Resumen Modelo'!M19</f>
        <v>0</v>
      </c>
      <c r="AD29" s="753">
        <f>+'[26]Resumen Modelo'!N19</f>
        <v>0</v>
      </c>
      <c r="AE29" s="753">
        <f>+'[26]Resumen Modelo'!O19</f>
        <v>0</v>
      </c>
      <c r="AF29" s="753">
        <f>+'[26]Resumen Modelo'!P19</f>
        <v>0</v>
      </c>
      <c r="AG29" s="753">
        <f>+'[26]Resumen Modelo'!Q19</f>
        <v>0</v>
      </c>
      <c r="AH29" s="753">
        <f>+'[26]Resumen Modelo'!R19</f>
        <v>0</v>
      </c>
      <c r="AI29" s="753"/>
      <c r="AJ29" s="717" t="str">
        <f>IFERROR(VLOOKUP($V25,#REF!,4,FALSE)," ")</f>
        <v xml:space="preserve"> </v>
      </c>
      <c r="AK29" s="762" t="s">
        <v>92</v>
      </c>
      <c r="AL29" s="758"/>
      <c r="AM29" s="759">
        <v>6087</v>
      </c>
      <c r="AN29" s="760">
        <v>0.11</v>
      </c>
    </row>
    <row r="30" spans="1:40" ht="15" customHeight="1">
      <c r="A30" s="750" t="s">
        <v>407</v>
      </c>
      <c r="B30" s="750"/>
      <c r="C30" s="751">
        <v>6014</v>
      </c>
      <c r="D30" s="752"/>
      <c r="E30" s="783"/>
      <c r="F30" s="783"/>
      <c r="G30" s="783"/>
      <c r="H30" s="783"/>
      <c r="I30" s="783"/>
      <c r="J30" s="783"/>
      <c r="K30" s="783"/>
      <c r="L30" s="783"/>
      <c r="M30" s="783"/>
      <c r="N30" s="783"/>
      <c r="O30" s="783"/>
      <c r="P30" s="783"/>
      <c r="Q30" s="783"/>
      <c r="R30" s="755" t="str">
        <f>IFERROR(VLOOKUP($C30,[25]Nod!$A$3:$E$992,4,FALSE)," ")</f>
        <v>PRO230</v>
      </c>
      <c r="S30" s="755">
        <f>IFERROR(VLOOKUP($C30,[25]Nod!$A$3:$E$992,5,FALSE)," ")</f>
        <v>1</v>
      </c>
      <c r="T30" s="761" t="s">
        <v>153</v>
      </c>
      <c r="V30" s="751">
        <v>6013</v>
      </c>
      <c r="W30" s="753">
        <f>+'[26]Resumen Modelo'!G20</f>
        <v>0</v>
      </c>
      <c r="X30" s="753">
        <f>+'[26]Resumen Modelo'!H20</f>
        <v>0</v>
      </c>
      <c r="Y30" s="753">
        <f>+'[26]Resumen Modelo'!I20</f>
        <v>0</v>
      </c>
      <c r="Z30" s="753">
        <f>+'[26]Resumen Modelo'!J20</f>
        <v>0</v>
      </c>
      <c r="AA30" s="753">
        <f>+'[26]Resumen Modelo'!K20</f>
        <v>0</v>
      </c>
      <c r="AB30" s="753">
        <f>+'[26]Resumen Modelo'!L20</f>
        <v>0</v>
      </c>
      <c r="AC30" s="753">
        <f>+'[26]Resumen Modelo'!M20</f>
        <v>0</v>
      </c>
      <c r="AD30" s="753">
        <f>+'[26]Resumen Modelo'!N20</f>
        <v>0</v>
      </c>
      <c r="AE30" s="753">
        <f>+'[26]Resumen Modelo'!O20</f>
        <v>0</v>
      </c>
      <c r="AF30" s="753">
        <f>+'[26]Resumen Modelo'!P20</f>
        <v>0</v>
      </c>
      <c r="AG30" s="753">
        <f>+'[26]Resumen Modelo'!Q20</f>
        <v>0</v>
      </c>
      <c r="AH30" s="753">
        <f>+'[26]Resumen Modelo'!R20</f>
        <v>0</v>
      </c>
      <c r="AI30" s="753">
        <f>+MAX(W30:AH30)</f>
        <v>0</v>
      </c>
      <c r="AJ30" s="717" t="str">
        <f>IFERROR(VLOOKUP($V26,#REF!,4,FALSE)," ")</f>
        <v xml:space="preserve"> </v>
      </c>
      <c r="AK30" s="786" t="s">
        <v>151</v>
      </c>
      <c r="AL30" s="758"/>
      <c r="AM30" s="759"/>
      <c r="AN30" s="760"/>
    </row>
    <row r="31" spans="1:40" ht="15" customHeight="1">
      <c r="A31" s="750" t="s">
        <v>408</v>
      </c>
      <c r="B31" s="750"/>
      <c r="C31" s="751">
        <v>6014</v>
      </c>
      <c r="D31" s="752"/>
      <c r="E31" s="783"/>
      <c r="F31" s="783"/>
      <c r="G31" s="783"/>
      <c r="H31" s="783"/>
      <c r="I31" s="783"/>
      <c r="J31" s="783"/>
      <c r="K31" s="783"/>
      <c r="L31" s="783"/>
      <c r="M31" s="783"/>
      <c r="N31" s="783"/>
      <c r="O31" s="783"/>
      <c r="P31" s="783"/>
      <c r="Q31" s="783"/>
      <c r="R31" s="755" t="str">
        <f>IFERROR(VLOOKUP($C31,[25]Nod!$A$3:$E$992,4,FALSE)," ")</f>
        <v>PRO230</v>
      </c>
      <c r="S31" s="755">
        <f>IFERROR(VLOOKUP($C31,[25]Nod!$A$3:$E$992,5,FALSE)," ")</f>
        <v>1</v>
      </c>
      <c r="T31" s="761" t="s">
        <v>409</v>
      </c>
      <c r="V31" s="751">
        <v>6013</v>
      </c>
      <c r="W31" s="753">
        <f>+'[26]Resumen Modelo'!G21</f>
        <v>106.53</v>
      </c>
      <c r="X31" s="753">
        <f>+'[26]Resumen Modelo'!H21</f>
        <v>115.74</v>
      </c>
      <c r="Y31" s="753">
        <f>+'[26]Resumen Modelo'!I21</f>
        <v>111.65</v>
      </c>
      <c r="Z31" s="753">
        <f>+'[26]Resumen Modelo'!J21</f>
        <v>114.88</v>
      </c>
      <c r="AA31" s="753">
        <f>+'[26]Resumen Modelo'!K21</f>
        <v>112.52</v>
      </c>
      <c r="AB31" s="753">
        <f>+'[26]Resumen Modelo'!L21</f>
        <v>107.92</v>
      </c>
      <c r="AC31" s="753">
        <f>+'[26]Resumen Modelo'!M21</f>
        <v>101.83</v>
      </c>
      <c r="AD31" s="753">
        <f>+'[26]Resumen Modelo'!N21</f>
        <v>103.17</v>
      </c>
      <c r="AE31" s="753">
        <f>+'[26]Resumen Modelo'!O21</f>
        <v>122.86</v>
      </c>
      <c r="AF31" s="753">
        <f>+'[26]Resumen Modelo'!P21</f>
        <v>121.6</v>
      </c>
      <c r="AG31" s="753">
        <f>+'[26]Resumen Modelo'!Q21</f>
        <v>112.16</v>
      </c>
      <c r="AH31" s="753">
        <f>+'[26]Resumen Modelo'!R21</f>
        <v>103.78</v>
      </c>
      <c r="AI31" s="753">
        <f>+MAX(W31:AH31)</f>
        <v>122.86</v>
      </c>
      <c r="AJ31" s="717" t="str">
        <f>IFERROR(VLOOKUP($V27,#REF!,4,FALSE)," ")</f>
        <v xml:space="preserve"> </v>
      </c>
      <c r="AK31" s="775">
        <v>4</v>
      </c>
      <c r="AL31" s="776"/>
      <c r="AM31" s="777"/>
      <c r="AN31" s="778">
        <v>114.53</v>
      </c>
    </row>
    <row r="32" spans="1:40" ht="15" customHeight="1">
      <c r="A32" s="750" t="s">
        <v>410</v>
      </c>
      <c r="B32" s="750"/>
      <c r="C32" s="751">
        <v>6014</v>
      </c>
      <c r="D32" s="752"/>
      <c r="E32" s="783"/>
      <c r="F32" s="783"/>
      <c r="G32" s="783"/>
      <c r="H32" s="783"/>
      <c r="I32" s="783"/>
      <c r="J32" s="783"/>
      <c r="K32" s="783"/>
      <c r="L32" s="783"/>
      <c r="M32" s="783"/>
      <c r="N32" s="783"/>
      <c r="O32" s="783"/>
      <c r="P32" s="783"/>
      <c r="Q32" s="783"/>
      <c r="R32" s="755" t="str">
        <f>IFERROR(VLOOKUP($C32,[25]Nod!$A$3:$E$992,4,FALSE)," ")</f>
        <v>PRO230</v>
      </c>
      <c r="S32" s="755">
        <f>IFERROR(VLOOKUP($C32,[25]Nod!$A$3:$E$992,5,FALSE)," ")</f>
        <v>1</v>
      </c>
      <c r="T32" s="763" t="s">
        <v>151</v>
      </c>
      <c r="U32" s="764"/>
      <c r="V32" s="765"/>
      <c r="W32" s="753">
        <f>+'[26]Resumen Modelo'!G22</f>
        <v>0</v>
      </c>
      <c r="X32" s="753">
        <f>+'[26]Resumen Modelo'!H22</f>
        <v>0</v>
      </c>
      <c r="Y32" s="753">
        <f>+'[26]Resumen Modelo'!I22</f>
        <v>0</v>
      </c>
      <c r="Z32" s="753">
        <f>+'[26]Resumen Modelo'!J22</f>
        <v>0</v>
      </c>
      <c r="AA32" s="753">
        <f>+'[26]Resumen Modelo'!K22</f>
        <v>0</v>
      </c>
      <c r="AB32" s="753">
        <f>+'[26]Resumen Modelo'!L22</f>
        <v>0</v>
      </c>
      <c r="AC32" s="753">
        <f>+'[26]Resumen Modelo'!M22</f>
        <v>0</v>
      </c>
      <c r="AD32" s="753">
        <f>+'[26]Resumen Modelo'!N22</f>
        <v>0</v>
      </c>
      <c r="AE32" s="753">
        <f>+'[26]Resumen Modelo'!O22</f>
        <v>0</v>
      </c>
      <c r="AF32" s="753">
        <f>+'[26]Resumen Modelo'!P22</f>
        <v>0</v>
      </c>
      <c r="AG32" s="753">
        <f>+'[26]Resumen Modelo'!Q22</f>
        <v>0</v>
      </c>
      <c r="AH32" s="753">
        <f>+'[26]Resumen Modelo'!R22</f>
        <v>0</v>
      </c>
      <c r="AI32" s="766"/>
      <c r="AJ32" s="717" t="str">
        <f>IFERROR(VLOOKUP($V28,#REF!,4,FALSE)," ")</f>
        <v xml:space="preserve"> </v>
      </c>
      <c r="AK32" s="757" t="s">
        <v>91</v>
      </c>
      <c r="AL32" s="758"/>
      <c r="AM32" s="759"/>
      <c r="AN32" s="760"/>
    </row>
    <row r="33" spans="1:40" ht="15" customHeight="1">
      <c r="A33" s="750" t="s">
        <v>411</v>
      </c>
      <c r="B33" s="750"/>
      <c r="C33" s="751">
        <v>6014</v>
      </c>
      <c r="D33" s="752"/>
      <c r="E33" s="783"/>
      <c r="F33" s="783"/>
      <c r="G33" s="783"/>
      <c r="H33" s="783"/>
      <c r="I33" s="783"/>
      <c r="J33" s="783"/>
      <c r="K33" s="783"/>
      <c r="L33" s="783"/>
      <c r="M33" s="783"/>
      <c r="N33" s="783"/>
      <c r="O33" s="783"/>
      <c r="P33" s="783"/>
      <c r="Q33" s="783"/>
      <c r="R33" s="755" t="str">
        <f>IFERROR(VLOOKUP($C33,[25]Nod!$A$3:$E$992,4,FALSE)," ")</f>
        <v>PRO230</v>
      </c>
      <c r="S33" s="755">
        <f>IFERROR(VLOOKUP($C33,[25]Nod!$A$3:$E$992,5,FALSE)," ")</f>
        <v>1</v>
      </c>
      <c r="T33" s="787">
        <v>5</v>
      </c>
      <c r="U33" s="741"/>
      <c r="V33" s="742"/>
      <c r="W33" s="780">
        <f>SUM(W34:W42)</f>
        <v>443.29999999999995</v>
      </c>
      <c r="X33" s="780">
        <f>+'[26]Resumen Modelo'!H23</f>
        <v>417.63</v>
      </c>
      <c r="Y33" s="780">
        <f>+'[26]Resumen Modelo'!I23</f>
        <v>368.07</v>
      </c>
      <c r="Z33" s="780">
        <f>+'[26]Resumen Modelo'!J23</f>
        <v>313.58000000000004</v>
      </c>
      <c r="AA33" s="780">
        <f>+'[26]Resumen Modelo'!K23</f>
        <v>431.88</v>
      </c>
      <c r="AB33" s="780">
        <f>+'[26]Resumen Modelo'!L23</f>
        <v>562.75</v>
      </c>
      <c r="AC33" s="780">
        <f>+'[26]Resumen Modelo'!M23</f>
        <v>444.62</v>
      </c>
      <c r="AD33" s="780">
        <f>+'[26]Resumen Modelo'!N23</f>
        <v>445.64</v>
      </c>
      <c r="AE33" s="780">
        <f>+'[26]Resumen Modelo'!O23</f>
        <v>506.90999999999997</v>
      </c>
      <c r="AF33" s="780">
        <f>+'[26]Resumen Modelo'!P23</f>
        <v>466.95</v>
      </c>
      <c r="AG33" s="780">
        <f>+'[26]Resumen Modelo'!Q23</f>
        <v>360.34</v>
      </c>
      <c r="AH33" s="780">
        <f>+'[26]Resumen Modelo'!R23</f>
        <v>383.80999999999995</v>
      </c>
      <c r="AI33" s="780">
        <f>SUM(AI34:AI42)</f>
        <v>566.55999999999995</v>
      </c>
      <c r="AJ33" s="717" t="str">
        <f>IFERROR(VLOOKUP($V29,#REF!,4,FALSE)," ")</f>
        <v xml:space="preserve"> </v>
      </c>
      <c r="AK33" s="762" t="s">
        <v>412</v>
      </c>
      <c r="AL33" s="758"/>
      <c r="AM33" s="759">
        <v>6013</v>
      </c>
      <c r="AN33" s="760">
        <v>12.88</v>
      </c>
    </row>
    <row r="34" spans="1:40" ht="15" customHeight="1">
      <c r="A34" s="750" t="s">
        <v>413</v>
      </c>
      <c r="B34" s="750"/>
      <c r="C34" s="751">
        <v>6014</v>
      </c>
      <c r="D34" s="752"/>
      <c r="E34" s="783"/>
      <c r="F34" s="783"/>
      <c r="G34" s="783"/>
      <c r="H34" s="783"/>
      <c r="I34" s="783"/>
      <c r="J34" s="783"/>
      <c r="K34" s="783"/>
      <c r="L34" s="783"/>
      <c r="M34" s="783"/>
      <c r="N34" s="783"/>
      <c r="O34" s="783"/>
      <c r="P34" s="783"/>
      <c r="Q34" s="783"/>
      <c r="R34" s="755" t="str">
        <f>IFERROR(VLOOKUP($C34,[25]Nod!$A$3:$E$992,4,FALSE)," ")</f>
        <v>PRO230</v>
      </c>
      <c r="S34" s="755">
        <f>IFERROR(VLOOKUP($C34,[25]Nod!$A$3:$E$992,5,FALSE)," ")</f>
        <v>1</v>
      </c>
      <c r="T34" s="756" t="s">
        <v>156</v>
      </c>
      <c r="V34" s="751"/>
      <c r="W34" s="753">
        <f>+'[26]Resumen Modelo'!G24</f>
        <v>0</v>
      </c>
      <c r="X34" s="753">
        <f>+'[26]Resumen Modelo'!H24</f>
        <v>0</v>
      </c>
      <c r="Y34" s="753">
        <f>+'[26]Resumen Modelo'!I24</f>
        <v>0</v>
      </c>
      <c r="Z34" s="753">
        <f>+'[26]Resumen Modelo'!J24</f>
        <v>0</v>
      </c>
      <c r="AA34" s="753">
        <f>+'[26]Resumen Modelo'!K24</f>
        <v>0</v>
      </c>
      <c r="AB34" s="753">
        <f>+'[26]Resumen Modelo'!L24</f>
        <v>0</v>
      </c>
      <c r="AC34" s="753">
        <f>+'[26]Resumen Modelo'!M24</f>
        <v>0</v>
      </c>
      <c r="AD34" s="753">
        <f>+'[26]Resumen Modelo'!N24</f>
        <v>0</v>
      </c>
      <c r="AE34" s="753">
        <f>+'[26]Resumen Modelo'!O24</f>
        <v>0</v>
      </c>
      <c r="AF34" s="753">
        <f>+'[26]Resumen Modelo'!P24</f>
        <v>0</v>
      </c>
      <c r="AG34" s="753">
        <f>+'[26]Resumen Modelo'!Q24</f>
        <v>0</v>
      </c>
      <c r="AH34" s="753">
        <f>+'[26]Resumen Modelo'!R24</f>
        <v>0</v>
      </c>
      <c r="AI34" s="788"/>
      <c r="AJ34" s="717" t="str">
        <f>IFERROR(VLOOKUP(#REF!,#REF!,4,FALSE)," ")</f>
        <v xml:space="preserve"> </v>
      </c>
      <c r="AK34" s="762" t="s">
        <v>414</v>
      </c>
      <c r="AL34" s="758"/>
      <c r="AM34" s="759">
        <v>6013</v>
      </c>
      <c r="AN34" s="760">
        <v>101.65</v>
      </c>
    </row>
    <row r="35" spans="1:40" ht="15" customHeight="1">
      <c r="A35" s="750" t="s">
        <v>415</v>
      </c>
      <c r="B35" s="750"/>
      <c r="C35" s="751">
        <v>6014</v>
      </c>
      <c r="D35" s="752"/>
      <c r="E35" s="783"/>
      <c r="F35" s="783"/>
      <c r="G35" s="783"/>
      <c r="H35" s="783"/>
      <c r="I35" s="783"/>
      <c r="J35" s="783"/>
      <c r="K35" s="783"/>
      <c r="L35" s="783"/>
      <c r="M35" s="783"/>
      <c r="N35" s="783"/>
      <c r="O35" s="783"/>
      <c r="P35" s="783"/>
      <c r="Q35" s="783"/>
      <c r="R35" s="755" t="str">
        <f>IFERROR(VLOOKUP($C35,[25]Nod!$A$3:$E$992,4,FALSE)," ")</f>
        <v>PRO230</v>
      </c>
      <c r="S35" s="755">
        <f>IFERROR(VLOOKUP($C35,[25]Nod!$A$3:$E$992,5,FALSE)," ")</f>
        <v>1</v>
      </c>
      <c r="T35" s="789" t="s">
        <v>158</v>
      </c>
      <c r="V35" s="751">
        <v>6009</v>
      </c>
      <c r="W35" s="753">
        <f>+'[26]Resumen Modelo'!G25</f>
        <v>254.52</v>
      </c>
      <c r="X35" s="753">
        <f>+'[26]Resumen Modelo'!H25</f>
        <v>251.24</v>
      </c>
      <c r="Y35" s="753">
        <f>+'[26]Resumen Modelo'!I25</f>
        <v>208.62</v>
      </c>
      <c r="Z35" s="753">
        <f>+'[26]Resumen Modelo'!J25</f>
        <v>238.6</v>
      </c>
      <c r="AA35" s="753">
        <f>+'[26]Resumen Modelo'!K25</f>
        <v>260.77</v>
      </c>
      <c r="AB35" s="753">
        <f>+'[26]Resumen Modelo'!L25</f>
        <v>289.83</v>
      </c>
      <c r="AC35" s="753">
        <f>+'[26]Resumen Modelo'!M25</f>
        <v>261.27999999999997</v>
      </c>
      <c r="AD35" s="753">
        <f>+'[26]Resumen Modelo'!N25</f>
        <v>269.32</v>
      </c>
      <c r="AE35" s="753">
        <f>+'[26]Resumen Modelo'!O25</f>
        <v>275.69</v>
      </c>
      <c r="AF35" s="753">
        <f>+'[26]Resumen Modelo'!P25</f>
        <v>293.06</v>
      </c>
      <c r="AG35" s="753">
        <f>+'[26]Resumen Modelo'!Q25</f>
        <v>267.05</v>
      </c>
      <c r="AH35" s="753">
        <f>+'[26]Resumen Modelo'!R25</f>
        <v>247.46</v>
      </c>
      <c r="AI35" s="788">
        <f>+MAX(W35:AH35)</f>
        <v>293.06</v>
      </c>
      <c r="AJ35" s="717"/>
      <c r="AK35" s="767" t="s">
        <v>151</v>
      </c>
      <c r="AL35" s="768"/>
      <c r="AM35" s="769"/>
      <c r="AN35" s="770"/>
    </row>
    <row r="36" spans="1:40" ht="15" customHeight="1">
      <c r="A36" s="790" t="s">
        <v>151</v>
      </c>
      <c r="C36" s="751"/>
      <c r="D36" s="791"/>
      <c r="E36" s="791"/>
      <c r="F36" s="791"/>
      <c r="G36" s="791"/>
      <c r="H36" s="791"/>
      <c r="I36" s="791"/>
      <c r="J36" s="791"/>
      <c r="K36" s="791"/>
      <c r="L36" s="791"/>
      <c r="M36" s="791"/>
      <c r="N36" s="791"/>
      <c r="O36" s="791"/>
      <c r="P36" s="791"/>
      <c r="Q36" s="754"/>
      <c r="R36" s="755" t="str">
        <f>IFERROR(VLOOKUP($C36,[25]Nod!$A$3:$E$992,4,FALSE)," ")</f>
        <v xml:space="preserve"> </v>
      </c>
      <c r="S36" s="755" t="str">
        <f>IFERROR(VLOOKUP($C36,[25]Nod!$A$3:$E$992,5,FALSE)," ")</f>
        <v xml:space="preserve"> </v>
      </c>
      <c r="T36" s="756" t="s">
        <v>159</v>
      </c>
      <c r="V36" s="751"/>
      <c r="W36" s="753">
        <f>+'[26]Resumen Modelo'!G26</f>
        <v>0</v>
      </c>
      <c r="X36" s="753">
        <f>+'[26]Resumen Modelo'!H26</f>
        <v>0</v>
      </c>
      <c r="Y36" s="753">
        <f>+'[26]Resumen Modelo'!I26</f>
        <v>0</v>
      </c>
      <c r="Z36" s="753">
        <f>+'[26]Resumen Modelo'!J26</f>
        <v>0</v>
      </c>
      <c r="AA36" s="753">
        <f>+'[26]Resumen Modelo'!K26</f>
        <v>0</v>
      </c>
      <c r="AB36" s="753">
        <f>+'[26]Resumen Modelo'!L26</f>
        <v>0</v>
      </c>
      <c r="AC36" s="753">
        <f>+'[26]Resumen Modelo'!M26</f>
        <v>0</v>
      </c>
      <c r="AD36" s="753">
        <f>+'[26]Resumen Modelo'!N26</f>
        <v>0</v>
      </c>
      <c r="AE36" s="753">
        <f>+'[26]Resumen Modelo'!O26</f>
        <v>0</v>
      </c>
      <c r="AF36" s="753">
        <f>+'[26]Resumen Modelo'!P26</f>
        <v>0</v>
      </c>
      <c r="AG36" s="753">
        <f>+'[26]Resumen Modelo'!Q26</f>
        <v>0</v>
      </c>
      <c r="AH36" s="753">
        <f>+'[26]Resumen Modelo'!R26</f>
        <v>0</v>
      </c>
      <c r="AI36" s="788"/>
      <c r="AJ36" s="717" t="str">
        <f>IFERROR(VLOOKUP($V30,#REF!,4,FALSE)," ")</f>
        <v xml:space="preserve"> </v>
      </c>
      <c r="AK36" s="786"/>
      <c r="AL36" s="758"/>
      <c r="AM36" s="759"/>
      <c r="AN36" s="760"/>
    </row>
    <row r="37" spans="1:40" ht="15" customHeight="1">
      <c r="A37" s="792">
        <v>2</v>
      </c>
      <c r="B37" s="772"/>
      <c r="C37" s="773"/>
      <c r="D37" s="774">
        <f>SUM(D38:D43)</f>
        <v>547.79999999999995</v>
      </c>
      <c r="E37" s="774">
        <f t="shared" ref="E37:K37" si="6">SUM(E38:E42)</f>
        <v>537.79999999999995</v>
      </c>
      <c r="F37" s="774">
        <f t="shared" si="6"/>
        <v>537.79999999999995</v>
      </c>
      <c r="G37" s="774">
        <f t="shared" si="6"/>
        <v>537.79999999999995</v>
      </c>
      <c r="H37" s="774">
        <f t="shared" si="6"/>
        <v>537.79999999999995</v>
      </c>
      <c r="I37" s="774">
        <f t="shared" si="6"/>
        <v>537.79999999999995</v>
      </c>
      <c r="J37" s="774">
        <f t="shared" si="6"/>
        <v>537.79999999999995</v>
      </c>
      <c r="K37" s="774">
        <f t="shared" si="6"/>
        <v>537.79999999999995</v>
      </c>
      <c r="L37" s="774">
        <f>SUM(L38:L42)</f>
        <v>537.79999999999995</v>
      </c>
      <c r="M37" s="774">
        <f>SUM(M38:M42)</f>
        <v>537.79999999999995</v>
      </c>
      <c r="N37" s="774">
        <f>SUM(N38:N42)</f>
        <v>537.79999999999995</v>
      </c>
      <c r="O37" s="774">
        <f>SUM(O38:O42)</f>
        <v>537.79999999999995</v>
      </c>
      <c r="P37" s="774">
        <f>SUM(P38:P42)</f>
        <v>537.79999999999995</v>
      </c>
      <c r="Q37" s="793"/>
      <c r="R37" s="755" t="str">
        <f>IFERROR(VLOOKUP($C37,[25]Nod!$A$3:$E$992,4,FALSE)," ")</f>
        <v xml:space="preserve"> </v>
      </c>
      <c r="S37" s="755" t="str">
        <f>IFERROR(VLOOKUP($C37,[25]Nod!$A$3:$E$992,5,FALSE)," ")</f>
        <v xml:space="preserve"> </v>
      </c>
      <c r="T37" s="761" t="s">
        <v>160</v>
      </c>
      <c r="V37" s="751">
        <v>6009</v>
      </c>
      <c r="W37" s="753">
        <f>+'[26]Resumen Modelo'!G27</f>
        <v>0.82000000000000006</v>
      </c>
      <c r="X37" s="753">
        <f>+'[26]Resumen Modelo'!H27</f>
        <v>0.8</v>
      </c>
      <c r="Y37" s="753">
        <f>+'[26]Resumen Modelo'!I27</f>
        <v>0.76</v>
      </c>
      <c r="Z37" s="753">
        <f>+'[26]Resumen Modelo'!J27</f>
        <v>0.74</v>
      </c>
      <c r="AA37" s="753">
        <f>+'[26]Resumen Modelo'!K27</f>
        <v>0.8</v>
      </c>
      <c r="AB37" s="753">
        <f>+'[26]Resumen Modelo'!L27</f>
        <v>0.83000000000000007</v>
      </c>
      <c r="AC37" s="753">
        <f>+'[26]Resumen Modelo'!M27</f>
        <v>0.79</v>
      </c>
      <c r="AD37" s="753">
        <f>+'[26]Resumen Modelo'!N27</f>
        <v>0.8</v>
      </c>
      <c r="AE37" s="753">
        <f>+'[26]Resumen Modelo'!O27</f>
        <v>0.81</v>
      </c>
      <c r="AF37" s="753">
        <f>+'[26]Resumen Modelo'!P27</f>
        <v>0.83000000000000007</v>
      </c>
      <c r="AG37" s="753">
        <f>+'[26]Resumen Modelo'!Q27</f>
        <v>0.76</v>
      </c>
      <c r="AH37" s="753">
        <f>+'[26]Resumen Modelo'!R27</f>
        <v>0.7</v>
      </c>
      <c r="AI37" s="788">
        <f>+MAX(W37:AH37)</f>
        <v>0.83000000000000007</v>
      </c>
      <c r="AJ37" s="717" t="str">
        <f>IFERROR(VLOOKUP($V31,#REF!,4,FALSE)," ")</f>
        <v xml:space="preserve"> </v>
      </c>
      <c r="AK37" s="746">
        <v>5</v>
      </c>
      <c r="AL37" s="747"/>
      <c r="AM37" s="748"/>
      <c r="AN37" s="749">
        <v>240.34983529537578</v>
      </c>
    </row>
    <row r="38" spans="1:40" ht="15" customHeight="1">
      <c r="A38" s="750" t="s">
        <v>32</v>
      </c>
      <c r="C38" s="751">
        <v>6096</v>
      </c>
      <c r="D38" s="752">
        <v>300</v>
      </c>
      <c r="E38" s="753">
        <v>300</v>
      </c>
      <c r="F38" s="753">
        <v>300</v>
      </c>
      <c r="G38" s="753">
        <v>300</v>
      </c>
      <c r="H38" s="753">
        <v>300</v>
      </c>
      <c r="I38" s="753">
        <v>300</v>
      </c>
      <c r="J38" s="753">
        <v>300</v>
      </c>
      <c r="K38" s="753">
        <v>300</v>
      </c>
      <c r="L38" s="753">
        <v>300</v>
      </c>
      <c r="M38" s="753">
        <v>300</v>
      </c>
      <c r="N38" s="753">
        <v>300</v>
      </c>
      <c r="O38" s="753">
        <v>300</v>
      </c>
      <c r="P38" s="753">
        <v>300</v>
      </c>
      <c r="Q38" s="754">
        <v>0</v>
      </c>
      <c r="R38" s="755" t="str">
        <f>IFERROR(VLOOKUP($C38,[25]Nod!$A$3:$E$992,4,FALSE)," ")</f>
        <v>FOR230</v>
      </c>
      <c r="S38" s="755">
        <f>IFERROR(VLOOKUP($C38,[25]Nod!$A$3:$E$992,5,FALSE)," ")</f>
        <v>2</v>
      </c>
      <c r="T38" s="761" t="s">
        <v>416</v>
      </c>
      <c r="V38" s="751">
        <v>6009</v>
      </c>
      <c r="W38" s="753">
        <f>+'[26]Resumen Modelo'!G28</f>
        <v>0</v>
      </c>
      <c r="X38" s="753">
        <f>+'[26]Resumen Modelo'!H28</f>
        <v>0</v>
      </c>
      <c r="Y38" s="753">
        <f>+'[26]Resumen Modelo'!I28</f>
        <v>0</v>
      </c>
      <c r="Z38" s="753">
        <f>+'[26]Resumen Modelo'!J28</f>
        <v>0</v>
      </c>
      <c r="AA38" s="753">
        <f>+'[26]Resumen Modelo'!K28</f>
        <v>0</v>
      </c>
      <c r="AB38" s="753">
        <f>+'[26]Resumen Modelo'!L28</f>
        <v>0</v>
      </c>
      <c r="AC38" s="753">
        <f>+'[26]Resumen Modelo'!M28</f>
        <v>0</v>
      </c>
      <c r="AD38" s="753">
        <f>+'[26]Resumen Modelo'!N28</f>
        <v>0</v>
      </c>
      <c r="AE38" s="753">
        <f>+'[26]Resumen Modelo'!O28</f>
        <v>0</v>
      </c>
      <c r="AF38" s="753">
        <f>+'[26]Resumen Modelo'!P28</f>
        <v>0</v>
      </c>
      <c r="AG38" s="753">
        <f>+'[26]Resumen Modelo'!Q28</f>
        <v>0</v>
      </c>
      <c r="AH38" s="753">
        <f>+'[26]Resumen Modelo'!R28</f>
        <v>0</v>
      </c>
      <c r="AI38" s="788">
        <f>+MAX(W38:AH38)</f>
        <v>0</v>
      </c>
      <c r="AJ38" s="717" t="str">
        <f>IFERROR(VLOOKUP($V32,#REF!,4,FALSE)," ")</f>
        <v xml:space="preserve"> </v>
      </c>
      <c r="AK38" s="757" t="s">
        <v>156</v>
      </c>
      <c r="AL38" s="758"/>
      <c r="AM38" s="759"/>
      <c r="AN38" s="760"/>
    </row>
    <row r="39" spans="1:40" ht="15" customHeight="1">
      <c r="A39" s="750" t="s">
        <v>33</v>
      </c>
      <c r="C39" s="751">
        <v>6179</v>
      </c>
      <c r="D39" s="752">
        <v>120</v>
      </c>
      <c r="E39" s="753">
        <v>120</v>
      </c>
      <c r="F39" s="753">
        <v>120</v>
      </c>
      <c r="G39" s="753">
        <v>120</v>
      </c>
      <c r="H39" s="753">
        <v>120</v>
      </c>
      <c r="I39" s="753">
        <v>120</v>
      </c>
      <c r="J39" s="753">
        <v>120</v>
      </c>
      <c r="K39" s="753">
        <v>120</v>
      </c>
      <c r="L39" s="753">
        <v>120</v>
      </c>
      <c r="M39" s="753">
        <v>120</v>
      </c>
      <c r="N39" s="753">
        <v>120</v>
      </c>
      <c r="O39" s="753">
        <v>120</v>
      </c>
      <c r="P39" s="753">
        <v>120</v>
      </c>
      <c r="Q39" s="754">
        <v>0</v>
      </c>
      <c r="R39" s="755" t="str">
        <f>IFERROR(VLOOKUP($C39,[25]Nod!$A$3:$E$992,4,FALSE)," ")</f>
        <v>GUA230</v>
      </c>
      <c r="S39" s="755">
        <f>IFERROR(VLOOKUP($C39,[25]Nod!$A$3:$E$992,5,FALSE)," ")</f>
        <v>2</v>
      </c>
      <c r="T39" s="761" t="s">
        <v>417</v>
      </c>
      <c r="V39" s="751">
        <v>6009</v>
      </c>
      <c r="W39" s="753">
        <f>+'[26]Resumen Modelo'!G29</f>
        <v>0.74</v>
      </c>
      <c r="X39" s="753">
        <f>+'[26]Resumen Modelo'!H29</f>
        <v>0.74</v>
      </c>
      <c r="Y39" s="753">
        <f>+'[26]Resumen Modelo'!I29</f>
        <v>0.69</v>
      </c>
      <c r="Z39" s="753">
        <f>+'[26]Resumen Modelo'!J29</f>
        <v>0.68</v>
      </c>
      <c r="AA39" s="753">
        <f>+'[26]Resumen Modelo'!K29</f>
        <v>0.66</v>
      </c>
      <c r="AB39" s="753">
        <f>+'[26]Resumen Modelo'!L29</f>
        <v>0.79</v>
      </c>
      <c r="AC39" s="753">
        <f>+'[26]Resumen Modelo'!M29</f>
        <v>0.78</v>
      </c>
      <c r="AD39" s="753">
        <f>+'[26]Resumen Modelo'!N29</f>
        <v>0.78</v>
      </c>
      <c r="AE39" s="753">
        <f>+'[26]Resumen Modelo'!O29</f>
        <v>0.77</v>
      </c>
      <c r="AF39" s="753">
        <f>+'[26]Resumen Modelo'!P29</f>
        <v>1.37</v>
      </c>
      <c r="AG39" s="753">
        <f>+'[26]Resumen Modelo'!Q29</f>
        <v>0.71</v>
      </c>
      <c r="AH39" s="753">
        <f>+'[26]Resumen Modelo'!R29</f>
        <v>0.76</v>
      </c>
      <c r="AI39" s="788">
        <f>+MAX(W39:AH39)</f>
        <v>1.37</v>
      </c>
      <c r="AJ39" s="717" t="str">
        <f>IFERROR(VLOOKUP($V33,#REF!,4,FALSE)," ")</f>
        <v xml:space="preserve"> </v>
      </c>
      <c r="AK39" s="762" t="s">
        <v>418</v>
      </c>
      <c r="AL39" s="758"/>
      <c r="AM39" s="759">
        <v>6009</v>
      </c>
      <c r="AN39" s="760">
        <v>238.43</v>
      </c>
    </row>
    <row r="40" spans="1:40" ht="15" customHeight="1">
      <c r="A40" s="750" t="s">
        <v>76</v>
      </c>
      <c r="C40" s="751">
        <v>6179</v>
      </c>
      <c r="D40" s="752">
        <v>25.34</v>
      </c>
      <c r="E40" s="753">
        <v>25.34</v>
      </c>
      <c r="F40" s="753">
        <v>25.34</v>
      </c>
      <c r="G40" s="753">
        <v>25.34</v>
      </c>
      <c r="H40" s="753">
        <v>25.34</v>
      </c>
      <c r="I40" s="753">
        <v>25.34</v>
      </c>
      <c r="J40" s="753">
        <v>25.34</v>
      </c>
      <c r="K40" s="753">
        <v>25.34</v>
      </c>
      <c r="L40" s="753">
        <v>25.34</v>
      </c>
      <c r="M40" s="753">
        <v>25.34</v>
      </c>
      <c r="N40" s="753">
        <v>25.34</v>
      </c>
      <c r="O40" s="753">
        <v>25.34</v>
      </c>
      <c r="P40" s="753">
        <v>25.34</v>
      </c>
      <c r="Q40" s="754">
        <v>0</v>
      </c>
      <c r="R40" s="755" t="str">
        <f>IFERROR(VLOOKUP($C40,[25]Nod!$A$3:$E$992,4,FALSE)," ")</f>
        <v>GUA230</v>
      </c>
      <c r="S40" s="755">
        <f>IFERROR(VLOOKUP($C40,[25]Nod!$A$3:$E$992,5,FALSE)," ")</f>
        <v>2</v>
      </c>
      <c r="T40" s="794" t="s">
        <v>419</v>
      </c>
      <c r="V40" s="751"/>
      <c r="W40" s="753">
        <f>+'[26]Resumen Modelo'!G30</f>
        <v>0</v>
      </c>
      <c r="X40" s="753">
        <f>+'[26]Resumen Modelo'!H30</f>
        <v>0</v>
      </c>
      <c r="Y40" s="753">
        <f>+'[26]Resumen Modelo'!I30</f>
        <v>0</v>
      </c>
      <c r="Z40" s="753">
        <f>+'[26]Resumen Modelo'!J30</f>
        <v>0</v>
      </c>
      <c r="AA40" s="753">
        <f>+'[26]Resumen Modelo'!K30</f>
        <v>0</v>
      </c>
      <c r="AB40" s="753">
        <f>+'[26]Resumen Modelo'!L30</f>
        <v>0</v>
      </c>
      <c r="AC40" s="753">
        <f>+'[26]Resumen Modelo'!M30</f>
        <v>0</v>
      </c>
      <c r="AD40" s="753">
        <f>+'[26]Resumen Modelo'!N30</f>
        <v>0</v>
      </c>
      <c r="AE40" s="753">
        <f>+'[26]Resumen Modelo'!O30</f>
        <v>0</v>
      </c>
      <c r="AF40" s="753">
        <f>+'[26]Resumen Modelo'!P30</f>
        <v>0</v>
      </c>
      <c r="AG40" s="753">
        <f>+'[26]Resumen Modelo'!Q30</f>
        <v>0</v>
      </c>
      <c r="AH40" s="753">
        <f>+'[26]Resumen Modelo'!R30</f>
        <v>0</v>
      </c>
      <c r="AI40" s="788"/>
      <c r="AJ40" s="717" t="str">
        <f>IFERROR(VLOOKUP($V34,#REF!,4,FALSE)," ")</f>
        <v xml:space="preserve"> </v>
      </c>
      <c r="AK40" s="757" t="s">
        <v>159</v>
      </c>
      <c r="AL40" s="758"/>
      <c r="AM40" s="759"/>
      <c r="AN40" s="760"/>
    </row>
    <row r="41" spans="1:40" ht="15" customHeight="1">
      <c r="A41" s="750" t="s">
        <v>77</v>
      </c>
      <c r="C41" s="751">
        <v>6179</v>
      </c>
      <c r="D41" s="752">
        <v>33.799999999999997</v>
      </c>
      <c r="E41" s="753">
        <v>33.799999999999997</v>
      </c>
      <c r="F41" s="753">
        <v>33.799999999999997</v>
      </c>
      <c r="G41" s="753">
        <v>33.799999999999997</v>
      </c>
      <c r="H41" s="753">
        <v>33.799999999999997</v>
      </c>
      <c r="I41" s="753">
        <v>33.799999999999997</v>
      </c>
      <c r="J41" s="753">
        <v>33.799999999999997</v>
      </c>
      <c r="K41" s="753">
        <v>33.799999999999997</v>
      </c>
      <c r="L41" s="753">
        <v>33.799999999999997</v>
      </c>
      <c r="M41" s="753">
        <v>33.799999999999997</v>
      </c>
      <c r="N41" s="753">
        <v>33.799999999999997</v>
      </c>
      <c r="O41" s="753">
        <v>33.799999999999997</v>
      </c>
      <c r="P41" s="753">
        <v>33.799999999999997</v>
      </c>
      <c r="Q41" s="754">
        <v>0</v>
      </c>
      <c r="R41" s="755" t="str">
        <f>IFERROR(VLOOKUP($C41,[25]Nod!$A$3:$E$992,4,FALSE)," ")</f>
        <v>GUA230</v>
      </c>
      <c r="S41" s="755">
        <f>IFERROR(VLOOKUP($C41,[25]Nod!$A$3:$E$992,5,FALSE)," ")</f>
        <v>2</v>
      </c>
      <c r="T41" s="761" t="s">
        <v>420</v>
      </c>
      <c r="V41" s="751">
        <v>6008</v>
      </c>
      <c r="W41" s="753">
        <f>+'[26]Resumen Modelo'!G31</f>
        <v>187.22</v>
      </c>
      <c r="X41" s="753">
        <f>+'[26]Resumen Modelo'!H31</f>
        <v>164.85</v>
      </c>
      <c r="Y41" s="753">
        <f>+'[26]Resumen Modelo'!I31</f>
        <v>158</v>
      </c>
      <c r="Z41" s="753">
        <f>+'[26]Resumen Modelo'!J31</f>
        <v>73.56</v>
      </c>
      <c r="AA41" s="753">
        <f>+'[26]Resumen Modelo'!K31</f>
        <v>169.65</v>
      </c>
      <c r="AB41" s="753">
        <f>+'[26]Resumen Modelo'!L31</f>
        <v>271.3</v>
      </c>
      <c r="AC41" s="753">
        <f>+'[26]Resumen Modelo'!M31</f>
        <v>181.77</v>
      </c>
      <c r="AD41" s="753">
        <f>+'[26]Resumen Modelo'!N31</f>
        <v>174.74</v>
      </c>
      <c r="AE41" s="753">
        <f>+'[26]Resumen Modelo'!O31</f>
        <v>229.64</v>
      </c>
      <c r="AF41" s="753">
        <f>+'[26]Resumen Modelo'!P31</f>
        <v>171.69</v>
      </c>
      <c r="AG41" s="753">
        <f>+'[26]Resumen Modelo'!Q31</f>
        <v>91.82</v>
      </c>
      <c r="AH41" s="753">
        <f>+'[26]Resumen Modelo'!R31</f>
        <v>134.88999999999999</v>
      </c>
      <c r="AI41" s="788">
        <f>+MAX(W41:AH41)</f>
        <v>271.3</v>
      </c>
      <c r="AJ41" s="717" t="str">
        <f>IFERROR(VLOOKUP($V35,#REF!,4,FALSE)," ")</f>
        <v xml:space="preserve"> </v>
      </c>
      <c r="AK41" s="762" t="s">
        <v>160</v>
      </c>
      <c r="AL41" s="758"/>
      <c r="AM41" s="759">
        <v>6009</v>
      </c>
      <c r="AN41" s="760">
        <v>0.98298267347968538</v>
      </c>
    </row>
    <row r="42" spans="1:40" ht="15" customHeight="1">
      <c r="A42" s="750" t="s">
        <v>78</v>
      </c>
      <c r="C42" s="751">
        <v>6179</v>
      </c>
      <c r="D42" s="752">
        <v>58.66</v>
      </c>
      <c r="E42" s="753">
        <v>58.66</v>
      </c>
      <c r="F42" s="753">
        <v>58.66</v>
      </c>
      <c r="G42" s="753">
        <v>58.66</v>
      </c>
      <c r="H42" s="753">
        <v>58.66</v>
      </c>
      <c r="I42" s="753">
        <v>58.66</v>
      </c>
      <c r="J42" s="753">
        <v>58.66</v>
      </c>
      <c r="K42" s="753">
        <v>58.66</v>
      </c>
      <c r="L42" s="753">
        <v>58.66</v>
      </c>
      <c r="M42" s="753">
        <v>58.66</v>
      </c>
      <c r="N42" s="753">
        <v>58.66</v>
      </c>
      <c r="O42" s="753">
        <v>58.66</v>
      </c>
      <c r="P42" s="753">
        <v>58.66</v>
      </c>
      <c r="Q42" s="754">
        <v>0</v>
      </c>
      <c r="R42" s="755" t="str">
        <f>IFERROR(VLOOKUP($C42,[25]Nod!$A$3:$E$992,4,FALSE)," ")</f>
        <v>GUA230</v>
      </c>
      <c r="S42" s="755">
        <f>IFERROR(VLOOKUP($C42,[25]Nod!$A$3:$E$992,5,FALSE)," ")</f>
        <v>2</v>
      </c>
      <c r="T42" s="782" t="s">
        <v>151</v>
      </c>
      <c r="V42" s="751"/>
      <c r="W42" s="753">
        <f>+'[26]Resumen Modelo'!G32</f>
        <v>0</v>
      </c>
      <c r="X42" s="753">
        <f>+'[26]Resumen Modelo'!H32</f>
        <v>0</v>
      </c>
      <c r="Y42" s="753">
        <f>+'[26]Resumen Modelo'!I32</f>
        <v>0</v>
      </c>
      <c r="Z42" s="753">
        <f>+'[26]Resumen Modelo'!J32</f>
        <v>0</v>
      </c>
      <c r="AA42" s="753">
        <f>+'[26]Resumen Modelo'!K32</f>
        <v>0</v>
      </c>
      <c r="AB42" s="753">
        <f>+'[26]Resumen Modelo'!L32</f>
        <v>0</v>
      </c>
      <c r="AC42" s="753">
        <f>+'[26]Resumen Modelo'!M32</f>
        <v>0</v>
      </c>
      <c r="AD42" s="753">
        <f>+'[26]Resumen Modelo'!N32</f>
        <v>0</v>
      </c>
      <c r="AE42" s="753">
        <f>+'[26]Resumen Modelo'!O32</f>
        <v>0</v>
      </c>
      <c r="AF42" s="753">
        <f>+'[26]Resumen Modelo'!P32</f>
        <v>0</v>
      </c>
      <c r="AG42" s="753">
        <f>+'[26]Resumen Modelo'!Q32</f>
        <v>0</v>
      </c>
      <c r="AH42" s="753">
        <f>+'[26]Resumen Modelo'!R32</f>
        <v>0</v>
      </c>
      <c r="AI42" s="795"/>
      <c r="AJ42" s="717" t="str">
        <f>IFERROR(VLOOKUP($V36,#REF!,4,FALSE)," ")</f>
        <v xml:space="preserve"> </v>
      </c>
      <c r="AK42" s="762" t="s">
        <v>161</v>
      </c>
      <c r="AL42" s="758"/>
      <c r="AM42" s="759">
        <v>6009</v>
      </c>
      <c r="AN42" s="760">
        <v>0.81643298536117104</v>
      </c>
    </row>
    <row r="43" spans="1:40" ht="15" customHeight="1">
      <c r="A43" s="750" t="s">
        <v>421</v>
      </c>
      <c r="C43" s="751">
        <v>6179</v>
      </c>
      <c r="D43" s="752">
        <v>10</v>
      </c>
      <c r="E43" s="753"/>
      <c r="F43" s="753"/>
      <c r="G43" s="753"/>
      <c r="H43" s="753"/>
      <c r="I43" s="753"/>
      <c r="J43" s="753"/>
      <c r="K43" s="753"/>
      <c r="L43" s="753"/>
      <c r="M43" s="753"/>
      <c r="N43" s="753"/>
      <c r="O43" s="753"/>
      <c r="P43" s="753"/>
      <c r="Q43" s="754"/>
      <c r="R43" s="755" t="str">
        <f>IFERROR(VLOOKUP($C43,[25]Nod!$A$3:$E$992,4,FALSE)," ")</f>
        <v>GUA230</v>
      </c>
      <c r="S43" s="755">
        <f>IFERROR(VLOOKUP($C43,[25]Nod!$A$3:$E$992,5,FALSE)," ")</f>
        <v>2</v>
      </c>
      <c r="T43" s="771">
        <v>6</v>
      </c>
      <c r="U43" s="772"/>
      <c r="V43" s="773"/>
      <c r="W43" s="780">
        <f>+'[26]Resumen Modelo'!G33</f>
        <v>169.91</v>
      </c>
      <c r="X43" s="780">
        <f>+'[26]Resumen Modelo'!H33</f>
        <v>171.82</v>
      </c>
      <c r="Y43" s="780">
        <f>+'[26]Resumen Modelo'!I33</f>
        <v>168.95999999999998</v>
      </c>
      <c r="Z43" s="780">
        <f>+'[26]Resumen Modelo'!J33</f>
        <v>164.78</v>
      </c>
      <c r="AA43" s="780">
        <f>+'[26]Resumen Modelo'!K33</f>
        <v>163.92999999999998</v>
      </c>
      <c r="AB43" s="780">
        <f>+'[26]Resumen Modelo'!L33</f>
        <v>172.06</v>
      </c>
      <c r="AC43" s="780">
        <f>+'[26]Resumen Modelo'!M33</f>
        <v>158.99</v>
      </c>
      <c r="AD43" s="780">
        <f>+'[26]Resumen Modelo'!N33</f>
        <v>166.59</v>
      </c>
      <c r="AE43" s="780">
        <f>+'[26]Resumen Modelo'!O33</f>
        <v>165.61</v>
      </c>
      <c r="AF43" s="780">
        <f>+'[26]Resumen Modelo'!P33</f>
        <v>174.70999999999998</v>
      </c>
      <c r="AG43" s="780">
        <f>+'[26]Resumen Modelo'!Q33</f>
        <v>183.22000000000003</v>
      </c>
      <c r="AH43" s="780">
        <f>+'[26]Resumen Modelo'!R33</f>
        <v>166.1</v>
      </c>
      <c r="AI43" s="780">
        <f>SUM(AI44:AI49)</f>
        <v>183.27</v>
      </c>
      <c r="AJ43" s="717" t="str">
        <f>IFERROR(VLOOKUP($V37,#REF!,4,FALSE)," ")</f>
        <v xml:space="preserve"> </v>
      </c>
      <c r="AK43" s="762" t="s">
        <v>416</v>
      </c>
      <c r="AL43" s="758"/>
      <c r="AM43" s="759">
        <v>6009</v>
      </c>
      <c r="AN43" s="760">
        <v>0.12041963653493307</v>
      </c>
    </row>
    <row r="44" spans="1:40" ht="15" customHeight="1">
      <c r="A44" s="796" t="s">
        <v>151</v>
      </c>
      <c r="B44" s="764"/>
      <c r="C44" s="765"/>
      <c r="D44" s="797"/>
      <c r="E44" s="797"/>
      <c r="F44" s="797"/>
      <c r="G44" s="797"/>
      <c r="H44" s="797"/>
      <c r="I44" s="797"/>
      <c r="J44" s="797"/>
      <c r="K44" s="797"/>
      <c r="L44" s="797"/>
      <c r="M44" s="797"/>
      <c r="N44" s="797"/>
      <c r="O44" s="797"/>
      <c r="P44" s="797"/>
      <c r="Q44" s="798"/>
      <c r="R44" s="755" t="str">
        <f>IFERROR(VLOOKUP($C44,[25]Nod!$A$3:$E$992,4,FALSE)," ")</f>
        <v xml:space="preserve"> </v>
      </c>
      <c r="S44" s="755" t="str">
        <f>IFERROR(VLOOKUP($C44,[25]Nod!$A$3:$E$992,5,FALSE)," ")</f>
        <v xml:space="preserve"> </v>
      </c>
      <c r="T44" s="756" t="s">
        <v>156</v>
      </c>
      <c r="V44" s="751"/>
      <c r="W44" s="753">
        <f>+'[26]Resumen Modelo'!G34</f>
        <v>0</v>
      </c>
      <c r="X44" s="753">
        <f>+'[26]Resumen Modelo'!H34</f>
        <v>0</v>
      </c>
      <c r="Y44" s="753">
        <f>+'[26]Resumen Modelo'!I34</f>
        <v>0</v>
      </c>
      <c r="Z44" s="753">
        <f>+'[26]Resumen Modelo'!J34</f>
        <v>0</v>
      </c>
      <c r="AA44" s="753">
        <f>+'[26]Resumen Modelo'!K34</f>
        <v>0</v>
      </c>
      <c r="AB44" s="753">
        <f>+'[26]Resumen Modelo'!L34</f>
        <v>0</v>
      </c>
      <c r="AC44" s="753">
        <f>+'[26]Resumen Modelo'!M34</f>
        <v>0</v>
      </c>
      <c r="AD44" s="753">
        <f>+'[26]Resumen Modelo'!N34</f>
        <v>0</v>
      </c>
      <c r="AE44" s="753">
        <f>+'[26]Resumen Modelo'!O34</f>
        <v>0</v>
      </c>
      <c r="AF44" s="753">
        <f>+'[26]Resumen Modelo'!P34</f>
        <v>0</v>
      </c>
      <c r="AG44" s="753">
        <f>+'[26]Resumen Modelo'!Q34</f>
        <v>0</v>
      </c>
      <c r="AH44" s="753">
        <f>+'[26]Resumen Modelo'!R34</f>
        <v>0</v>
      </c>
      <c r="AI44" s="788"/>
      <c r="AJ44" s="717" t="str">
        <f>IFERROR(VLOOKUP($V38,#REF!,4,FALSE)," ")</f>
        <v xml:space="preserve"> </v>
      </c>
      <c r="AK44" s="786" t="s">
        <v>151</v>
      </c>
      <c r="AL44" s="758"/>
      <c r="AM44" s="759"/>
      <c r="AN44" s="760"/>
    </row>
    <row r="45" spans="1:40" ht="15" customHeight="1">
      <c r="A45" s="740">
        <v>3</v>
      </c>
      <c r="B45" s="741"/>
      <c r="C45" s="742"/>
      <c r="D45" s="743">
        <f>SUM(D46:D51)</f>
        <v>155.26999999999998</v>
      </c>
      <c r="E45" s="743">
        <f t="shared" ref="E45:K45" si="7">SUM(E46:E51)</f>
        <v>155.26999999999998</v>
      </c>
      <c r="F45" s="743">
        <f t="shared" si="7"/>
        <v>155.26999999999998</v>
      </c>
      <c r="G45" s="743">
        <f t="shared" si="7"/>
        <v>155.26999999999998</v>
      </c>
      <c r="H45" s="743">
        <f t="shared" si="7"/>
        <v>155.26999999999998</v>
      </c>
      <c r="I45" s="743">
        <f t="shared" si="7"/>
        <v>155.26999999999998</v>
      </c>
      <c r="J45" s="743">
        <f t="shared" si="7"/>
        <v>155.26999999999998</v>
      </c>
      <c r="K45" s="743">
        <f t="shared" si="7"/>
        <v>155.26999999999998</v>
      </c>
      <c r="L45" s="743">
        <f>SUM(L46:L51)</f>
        <v>155.26999999999998</v>
      </c>
      <c r="M45" s="743">
        <f>SUM(M46:M51)</f>
        <v>155.26999999999998</v>
      </c>
      <c r="N45" s="743">
        <f>SUM(N46:N51)</f>
        <v>155.26999999999998</v>
      </c>
      <c r="O45" s="743">
        <f>SUM(O46:O51)</f>
        <v>155.26999999999998</v>
      </c>
      <c r="P45" s="743">
        <f>SUM(P46:P51)</f>
        <v>155.26999999999998</v>
      </c>
      <c r="Q45" s="744"/>
      <c r="R45" s="755" t="str">
        <f>IFERROR(VLOOKUP($C45,[25]Nod!$A$3:$E$992,4,FALSE)," ")</f>
        <v xml:space="preserve"> </v>
      </c>
      <c r="S45" s="755" t="str">
        <f>IFERROR(VLOOKUP($C45,[25]Nod!$A$3:$E$992,5,FALSE)," ")</f>
        <v xml:space="preserve"> </v>
      </c>
      <c r="T45" s="761" t="s">
        <v>164</v>
      </c>
      <c r="V45" s="751">
        <v>6005</v>
      </c>
      <c r="W45" s="753">
        <f>+'[26]Resumen Modelo'!G35</f>
        <v>167.57</v>
      </c>
      <c r="X45" s="753">
        <f>+'[26]Resumen Modelo'!H35</f>
        <v>169.48</v>
      </c>
      <c r="Y45" s="753">
        <f>+'[26]Resumen Modelo'!I35</f>
        <v>166.6</v>
      </c>
      <c r="Z45" s="753">
        <f>+'[26]Resumen Modelo'!J35</f>
        <v>162.41999999999999</v>
      </c>
      <c r="AA45" s="753">
        <f>+'[26]Resumen Modelo'!K35</f>
        <v>161.57</v>
      </c>
      <c r="AB45" s="753">
        <f>+'[26]Resumen Modelo'!L35</f>
        <v>169.74</v>
      </c>
      <c r="AC45" s="753">
        <f>+'[26]Resumen Modelo'!M35</f>
        <v>156.68</v>
      </c>
      <c r="AD45" s="753">
        <f>+'[26]Resumen Modelo'!N35</f>
        <v>164.28</v>
      </c>
      <c r="AE45" s="753">
        <f>+'[26]Resumen Modelo'!O35</f>
        <v>163.30000000000001</v>
      </c>
      <c r="AF45" s="753">
        <f>+'[26]Resumen Modelo'!P35</f>
        <v>172.39</v>
      </c>
      <c r="AG45" s="753">
        <f>+'[26]Resumen Modelo'!Q35</f>
        <v>180.9</v>
      </c>
      <c r="AH45" s="753">
        <f>+'[26]Resumen Modelo'!R35</f>
        <v>163.80000000000001</v>
      </c>
      <c r="AI45" s="788">
        <f>+MAX(W45:AH45)</f>
        <v>180.9</v>
      </c>
      <c r="AJ45" s="717" t="str">
        <f>IFERROR(VLOOKUP($V39,#REF!,4,FALSE)," ")</f>
        <v xml:space="preserve"> </v>
      </c>
      <c r="AK45" s="775">
        <v>6</v>
      </c>
      <c r="AL45" s="776"/>
      <c r="AM45" s="777"/>
      <c r="AN45" s="778">
        <v>171.22199929453993</v>
      </c>
    </row>
    <row r="46" spans="1:40" ht="15" customHeight="1">
      <c r="A46" s="750" t="s">
        <v>152</v>
      </c>
      <c r="C46" s="751">
        <v>6087</v>
      </c>
      <c r="D46" s="752">
        <v>47.2</v>
      </c>
      <c r="E46" s="753">
        <v>47.2</v>
      </c>
      <c r="F46" s="753">
        <v>47.2</v>
      </c>
      <c r="G46" s="753">
        <v>47.2</v>
      </c>
      <c r="H46" s="753">
        <v>47.2</v>
      </c>
      <c r="I46" s="753">
        <v>47.2</v>
      </c>
      <c r="J46" s="753">
        <v>47.2</v>
      </c>
      <c r="K46" s="753">
        <v>47.2</v>
      </c>
      <c r="L46" s="753">
        <v>47.2</v>
      </c>
      <c r="M46" s="753">
        <v>47.2</v>
      </c>
      <c r="N46" s="753">
        <v>47.2</v>
      </c>
      <c r="O46" s="753">
        <v>47.2</v>
      </c>
      <c r="P46" s="753">
        <v>47.2</v>
      </c>
      <c r="Q46" s="754">
        <v>0</v>
      </c>
      <c r="R46" s="755" t="str">
        <f>IFERROR(VLOOKUP($C46,[25]Nod!$A$3:$E$992,4,FALSE)," ")</f>
        <v>CAL115</v>
      </c>
      <c r="S46" s="755">
        <f>IFERROR(VLOOKUP($C46,[25]Nod!$A$3:$E$992,5,FALSE)," ")</f>
        <v>3</v>
      </c>
      <c r="T46" s="756" t="s">
        <v>159</v>
      </c>
      <c r="V46" s="751"/>
      <c r="W46" s="753">
        <f>+'[26]Resumen Modelo'!G36</f>
        <v>0</v>
      </c>
      <c r="X46" s="753">
        <f>+'[26]Resumen Modelo'!H36</f>
        <v>0</v>
      </c>
      <c r="Y46" s="753">
        <f>+'[26]Resumen Modelo'!I36</f>
        <v>0</v>
      </c>
      <c r="Z46" s="753">
        <f>+'[26]Resumen Modelo'!J36</f>
        <v>0</v>
      </c>
      <c r="AA46" s="753">
        <f>+'[26]Resumen Modelo'!K36</f>
        <v>0</v>
      </c>
      <c r="AB46" s="753">
        <f>+'[26]Resumen Modelo'!L36</f>
        <v>0</v>
      </c>
      <c r="AC46" s="753">
        <f>+'[26]Resumen Modelo'!M36</f>
        <v>0</v>
      </c>
      <c r="AD46" s="753">
        <f>+'[26]Resumen Modelo'!N36</f>
        <v>0</v>
      </c>
      <c r="AE46" s="753">
        <f>+'[26]Resumen Modelo'!O36</f>
        <v>0</v>
      </c>
      <c r="AF46" s="753">
        <f>+'[26]Resumen Modelo'!P36</f>
        <v>0</v>
      </c>
      <c r="AG46" s="753">
        <f>+'[26]Resumen Modelo'!Q36</f>
        <v>0</v>
      </c>
      <c r="AH46" s="753">
        <f>+'[26]Resumen Modelo'!R36</f>
        <v>0</v>
      </c>
      <c r="AI46" s="788"/>
      <c r="AJ46" s="717"/>
      <c r="AK46" s="757" t="s">
        <v>156</v>
      </c>
      <c r="AL46" s="758"/>
      <c r="AM46" s="759"/>
      <c r="AN46" s="760"/>
    </row>
    <row r="47" spans="1:40" ht="15" customHeight="1">
      <c r="A47" s="750" t="s">
        <v>34</v>
      </c>
      <c r="C47" s="751">
        <v>6087</v>
      </c>
      <c r="D47" s="752">
        <v>54.76</v>
      </c>
      <c r="E47" s="753">
        <v>54.76</v>
      </c>
      <c r="F47" s="753">
        <v>54.76</v>
      </c>
      <c r="G47" s="753">
        <v>54.76</v>
      </c>
      <c r="H47" s="753">
        <v>54.76</v>
      </c>
      <c r="I47" s="753">
        <v>54.76</v>
      </c>
      <c r="J47" s="753">
        <v>54.76</v>
      </c>
      <c r="K47" s="753">
        <v>54.76</v>
      </c>
      <c r="L47" s="753">
        <v>54.76</v>
      </c>
      <c r="M47" s="753">
        <v>54.76</v>
      </c>
      <c r="N47" s="753">
        <v>54.76</v>
      </c>
      <c r="O47" s="753">
        <v>54.76</v>
      </c>
      <c r="P47" s="753">
        <v>54.76</v>
      </c>
      <c r="Q47" s="754">
        <v>0</v>
      </c>
      <c r="R47" s="755" t="str">
        <f>IFERROR(VLOOKUP($C47,[25]Nod!$A$3:$E$992,4,FALSE)," ")</f>
        <v>CAL115</v>
      </c>
      <c r="S47" s="755">
        <f>IFERROR(VLOOKUP($C47,[25]Nod!$A$3:$E$992,5,FALSE)," ")</f>
        <v>3</v>
      </c>
      <c r="T47" s="761" t="s">
        <v>160</v>
      </c>
      <c r="V47" s="751">
        <v>6005</v>
      </c>
      <c r="W47" s="753">
        <f>+'[26]Resumen Modelo'!G37</f>
        <v>0.23</v>
      </c>
      <c r="X47" s="753">
        <f>+'[26]Resumen Modelo'!H37</f>
        <v>0.22</v>
      </c>
      <c r="Y47" s="753">
        <f>+'[26]Resumen Modelo'!I37</f>
        <v>0.23</v>
      </c>
      <c r="Z47" s="753">
        <f>+'[26]Resumen Modelo'!J37</f>
        <v>0.24</v>
      </c>
      <c r="AA47" s="753">
        <f>+'[26]Resumen Modelo'!K37</f>
        <v>0.23</v>
      </c>
      <c r="AB47" s="753">
        <f>+'[26]Resumen Modelo'!L37</f>
        <v>0.22</v>
      </c>
      <c r="AC47" s="753">
        <f>+'[26]Resumen Modelo'!M37</f>
        <v>0.21</v>
      </c>
      <c r="AD47" s="753">
        <f>+'[26]Resumen Modelo'!N37</f>
        <v>0.21</v>
      </c>
      <c r="AE47" s="753">
        <f>+'[26]Resumen Modelo'!O37</f>
        <v>0.22</v>
      </c>
      <c r="AF47" s="753">
        <f>+'[26]Resumen Modelo'!P37</f>
        <v>0.22</v>
      </c>
      <c r="AG47" s="753">
        <f>+'[26]Resumen Modelo'!Q37</f>
        <v>0.24</v>
      </c>
      <c r="AH47" s="753">
        <f>+'[26]Resumen Modelo'!R37</f>
        <v>0.23</v>
      </c>
      <c r="AI47" s="788">
        <f>+MAX(W47:AH47)</f>
        <v>0.24</v>
      </c>
      <c r="AJ47" s="717" t="str">
        <f>IFERROR(VLOOKUP($V41,#REF!,4,FALSE)," ")</f>
        <v xml:space="preserve"> </v>
      </c>
      <c r="AK47" s="762" t="s">
        <v>164</v>
      </c>
      <c r="AL47" s="758"/>
      <c r="AM47" s="759">
        <v>6005</v>
      </c>
      <c r="AN47" s="760">
        <v>169.89</v>
      </c>
    </row>
    <row r="48" spans="1:40" ht="15" customHeight="1">
      <c r="A48" s="750" t="s">
        <v>80</v>
      </c>
      <c r="C48" s="751">
        <v>6087</v>
      </c>
      <c r="D48" s="752">
        <v>19.75</v>
      </c>
      <c r="E48" s="753">
        <v>19.75</v>
      </c>
      <c r="F48" s="753">
        <v>19.75</v>
      </c>
      <c r="G48" s="753">
        <v>19.75</v>
      </c>
      <c r="H48" s="753">
        <v>19.75</v>
      </c>
      <c r="I48" s="753">
        <v>19.75</v>
      </c>
      <c r="J48" s="753">
        <v>19.75</v>
      </c>
      <c r="K48" s="753">
        <v>19.75</v>
      </c>
      <c r="L48" s="753">
        <v>19.75</v>
      </c>
      <c r="M48" s="753">
        <v>19.75</v>
      </c>
      <c r="N48" s="753">
        <v>19.75</v>
      </c>
      <c r="O48" s="753">
        <v>19.75</v>
      </c>
      <c r="P48" s="753">
        <v>19.75</v>
      </c>
      <c r="Q48" s="754">
        <v>0</v>
      </c>
      <c r="R48" s="755" t="str">
        <f>IFERROR(VLOOKUP($C48,[25]Nod!$A$3:$E$992,4,FALSE)," ")</f>
        <v>CAL115</v>
      </c>
      <c r="S48" s="755">
        <f>IFERROR(VLOOKUP($C48,[25]Nod!$A$3:$E$992,5,FALSE)," ")</f>
        <v>3</v>
      </c>
      <c r="T48" s="761" t="s">
        <v>422</v>
      </c>
      <c r="V48" s="751">
        <v>6005</v>
      </c>
      <c r="W48" s="753">
        <f>+'[26]Resumen Modelo'!G38</f>
        <v>2.11</v>
      </c>
      <c r="X48" s="753">
        <f>+'[26]Resumen Modelo'!H38</f>
        <v>2.12</v>
      </c>
      <c r="Y48" s="753">
        <f>+'[26]Resumen Modelo'!I38</f>
        <v>2.13</v>
      </c>
      <c r="Z48" s="753">
        <f>+'[26]Resumen Modelo'!J38</f>
        <v>2.12</v>
      </c>
      <c r="AA48" s="753">
        <f>+'[26]Resumen Modelo'!K38</f>
        <v>2.13</v>
      </c>
      <c r="AB48" s="753">
        <f>+'[26]Resumen Modelo'!L38</f>
        <v>2.1</v>
      </c>
      <c r="AC48" s="753">
        <f>+'[26]Resumen Modelo'!M38</f>
        <v>2.1</v>
      </c>
      <c r="AD48" s="753">
        <f>+'[26]Resumen Modelo'!N38</f>
        <v>2.1</v>
      </c>
      <c r="AE48" s="753">
        <f>+'[26]Resumen Modelo'!O38</f>
        <v>2.09</v>
      </c>
      <c r="AF48" s="753">
        <f>+'[26]Resumen Modelo'!P38</f>
        <v>2.1</v>
      </c>
      <c r="AG48" s="753">
        <f>+'[26]Resumen Modelo'!Q38</f>
        <v>2.08</v>
      </c>
      <c r="AH48" s="753">
        <f>+'[26]Resumen Modelo'!R38</f>
        <v>2.0699999999999998</v>
      </c>
      <c r="AI48" s="788">
        <f>+MAX(W48:AH48)</f>
        <v>2.13</v>
      </c>
      <c r="AJ48" s="717"/>
      <c r="AK48" s="757" t="s">
        <v>159</v>
      </c>
      <c r="AL48" s="758"/>
      <c r="AM48" s="759"/>
      <c r="AN48" s="760"/>
    </row>
    <row r="49" spans="1:40" ht="15" customHeight="1">
      <c r="A49" s="750" t="s">
        <v>79</v>
      </c>
      <c r="C49" s="751">
        <v>6087</v>
      </c>
      <c r="D49" s="752">
        <v>15.5</v>
      </c>
      <c r="E49" s="753">
        <v>15.5</v>
      </c>
      <c r="F49" s="753">
        <v>15.5</v>
      </c>
      <c r="G49" s="753">
        <v>15.5</v>
      </c>
      <c r="H49" s="753">
        <v>15.5</v>
      </c>
      <c r="I49" s="753">
        <v>15.5</v>
      </c>
      <c r="J49" s="753">
        <v>15.5</v>
      </c>
      <c r="K49" s="753">
        <v>15.5</v>
      </c>
      <c r="L49" s="753">
        <v>15.5</v>
      </c>
      <c r="M49" s="753">
        <v>15.5</v>
      </c>
      <c r="N49" s="753">
        <v>15.5</v>
      </c>
      <c r="O49" s="753">
        <v>15.5</v>
      </c>
      <c r="P49" s="753">
        <v>15.5</v>
      </c>
      <c r="Q49" s="754">
        <v>0</v>
      </c>
      <c r="R49" s="755" t="str">
        <f>IFERROR(VLOOKUP($C49,[25]Nod!$A$3:$E$992,4,FALSE)," ")</f>
        <v>CAL115</v>
      </c>
      <c r="S49" s="755">
        <f>IFERROR(VLOOKUP($C49,[25]Nod!$A$3:$E$992,5,FALSE)," ")</f>
        <v>3</v>
      </c>
      <c r="T49" s="763" t="s">
        <v>151</v>
      </c>
      <c r="U49" s="764"/>
      <c r="V49" s="765"/>
      <c r="W49" s="753">
        <f>+'[26]Resumen Modelo'!G39</f>
        <v>0</v>
      </c>
      <c r="X49" s="753">
        <f>+'[26]Resumen Modelo'!H39</f>
        <v>0</v>
      </c>
      <c r="Y49" s="753">
        <f>+'[26]Resumen Modelo'!I39</f>
        <v>0</v>
      </c>
      <c r="Z49" s="753">
        <f>+'[26]Resumen Modelo'!J39</f>
        <v>0</v>
      </c>
      <c r="AA49" s="753">
        <f>+'[26]Resumen Modelo'!K39</f>
        <v>0</v>
      </c>
      <c r="AB49" s="753">
        <f>+'[26]Resumen Modelo'!L39</f>
        <v>0</v>
      </c>
      <c r="AC49" s="753">
        <f>+'[26]Resumen Modelo'!M39</f>
        <v>0</v>
      </c>
      <c r="AD49" s="753">
        <f>+'[26]Resumen Modelo'!N39</f>
        <v>0</v>
      </c>
      <c r="AE49" s="753">
        <f>+'[26]Resumen Modelo'!O39</f>
        <v>0</v>
      </c>
      <c r="AF49" s="753">
        <f>+'[26]Resumen Modelo'!P39</f>
        <v>0</v>
      </c>
      <c r="AG49" s="753">
        <f>+'[26]Resumen Modelo'!Q39</f>
        <v>0</v>
      </c>
      <c r="AH49" s="753">
        <f>+'[26]Resumen Modelo'!R39</f>
        <v>0</v>
      </c>
      <c r="AI49" s="795"/>
      <c r="AJ49" s="717" t="str">
        <f>IFERROR(VLOOKUP($V42,#REF!,4,FALSE)," ")</f>
        <v xml:space="preserve"> </v>
      </c>
      <c r="AK49" s="762" t="s">
        <v>160</v>
      </c>
      <c r="AL49" s="758"/>
      <c r="AM49" s="759">
        <v>6005</v>
      </c>
      <c r="AN49" s="760">
        <v>0.29932012016500509</v>
      </c>
    </row>
    <row r="50" spans="1:40" ht="15" customHeight="1">
      <c r="A50" s="750" t="s">
        <v>155</v>
      </c>
      <c r="C50" s="751">
        <v>6087</v>
      </c>
      <c r="D50" s="752">
        <v>8.1999999999999993</v>
      </c>
      <c r="E50" s="753">
        <v>8.1999999999999993</v>
      </c>
      <c r="F50" s="753">
        <v>8.1999999999999993</v>
      </c>
      <c r="G50" s="753">
        <v>8.1999999999999993</v>
      </c>
      <c r="H50" s="753">
        <v>8.1999999999999993</v>
      </c>
      <c r="I50" s="753">
        <v>8.1999999999999993</v>
      </c>
      <c r="J50" s="753">
        <v>8.1999999999999993</v>
      </c>
      <c r="K50" s="753">
        <v>8.1999999999999993</v>
      </c>
      <c r="L50" s="753">
        <v>8.1999999999999993</v>
      </c>
      <c r="M50" s="753">
        <v>8.1999999999999993</v>
      </c>
      <c r="N50" s="753">
        <v>8.1999999999999993</v>
      </c>
      <c r="O50" s="753">
        <v>8.1999999999999993</v>
      </c>
      <c r="P50" s="753">
        <v>8.1999999999999993</v>
      </c>
      <c r="Q50" s="754">
        <v>0</v>
      </c>
      <c r="R50" s="755" t="str">
        <f>IFERROR(VLOOKUP($C50,[25]Nod!$A$3:$E$992,4,FALSE)," ")</f>
        <v>CAL115</v>
      </c>
      <c r="S50" s="755">
        <f>IFERROR(VLOOKUP($C50,[25]Nod!$A$3:$E$992,5,FALSE)," ")</f>
        <v>3</v>
      </c>
      <c r="T50" s="787">
        <v>7</v>
      </c>
      <c r="U50" s="741"/>
      <c r="V50" s="742"/>
      <c r="W50" s="780">
        <f>SUM(W52:W67)</f>
        <v>885.24827699999992</v>
      </c>
      <c r="X50" s="780">
        <f>+'[26]Resumen Modelo'!H40</f>
        <v>959.91906199999983</v>
      </c>
      <c r="Y50" s="780">
        <f>+'[26]Resumen Modelo'!I40</f>
        <v>994.09</v>
      </c>
      <c r="Z50" s="780">
        <f>+'[26]Resumen Modelo'!J40</f>
        <v>959.99000000000012</v>
      </c>
      <c r="AA50" s="780">
        <f>+'[26]Resumen Modelo'!K40</f>
        <v>945.60316999999986</v>
      </c>
      <c r="AB50" s="780">
        <f>+'[26]Resumen Modelo'!L40</f>
        <v>983.06346300000007</v>
      </c>
      <c r="AC50" s="780">
        <f>+'[26]Resumen Modelo'!M40</f>
        <v>936.54365600000006</v>
      </c>
      <c r="AD50" s="780">
        <f>+'[26]Resumen Modelo'!N40</f>
        <v>988.36840299999994</v>
      </c>
      <c r="AE50" s="780">
        <f>+'[26]Resumen Modelo'!O40</f>
        <v>990.61628500000006</v>
      </c>
      <c r="AF50" s="780">
        <f>+'[26]Resumen Modelo'!P40</f>
        <v>1014.5791169999999</v>
      </c>
      <c r="AG50" s="780">
        <f>+'[26]Resumen Modelo'!Q40</f>
        <v>1006.6427959999999</v>
      </c>
      <c r="AH50" s="780">
        <f>+'[26]Resumen Modelo'!R40</f>
        <v>971.30811699999992</v>
      </c>
      <c r="AI50" s="780">
        <f>SUM(AI52:AI67)</f>
        <v>1126.7800000000002</v>
      </c>
      <c r="AJ50" s="717" t="str">
        <f>IFERROR(VLOOKUP($V43,#REF!,4,FALSE)," ")</f>
        <v xml:space="preserve"> </v>
      </c>
      <c r="AK50" s="762" t="s">
        <v>422</v>
      </c>
      <c r="AL50" s="758"/>
      <c r="AM50" s="759">
        <v>6005</v>
      </c>
      <c r="AN50" s="760">
        <v>1.0326791743749477</v>
      </c>
    </row>
    <row r="51" spans="1:40" ht="15" customHeight="1">
      <c r="A51" s="750" t="s">
        <v>157</v>
      </c>
      <c r="C51" s="751">
        <v>6087</v>
      </c>
      <c r="D51" s="752">
        <v>9.86</v>
      </c>
      <c r="E51" s="753">
        <v>9.86</v>
      </c>
      <c r="F51" s="753">
        <v>9.86</v>
      </c>
      <c r="G51" s="753">
        <v>9.86</v>
      </c>
      <c r="H51" s="753">
        <v>9.86</v>
      </c>
      <c r="I51" s="753">
        <v>9.86</v>
      </c>
      <c r="J51" s="753">
        <v>9.86</v>
      </c>
      <c r="K51" s="753">
        <v>9.86</v>
      </c>
      <c r="L51" s="753">
        <v>9.86</v>
      </c>
      <c r="M51" s="753">
        <v>9.86</v>
      </c>
      <c r="N51" s="753">
        <v>9.86</v>
      </c>
      <c r="O51" s="753">
        <v>9.86</v>
      </c>
      <c r="P51" s="753">
        <v>9.86</v>
      </c>
      <c r="Q51" s="754">
        <v>0</v>
      </c>
      <c r="R51" s="755" t="str">
        <f>IFERROR(VLOOKUP($C51,[25]Nod!$A$3:$E$992,4,FALSE)," ")</f>
        <v>CAL115</v>
      </c>
      <c r="S51" s="755">
        <f>IFERROR(VLOOKUP($C51,[25]Nod!$A$3:$E$992,5,FALSE)," ")</f>
        <v>3</v>
      </c>
      <c r="T51" s="756" t="s">
        <v>169</v>
      </c>
      <c r="V51" s="751"/>
      <c r="W51" s="753">
        <f>+'[26]Resumen Modelo'!G41</f>
        <v>0</v>
      </c>
      <c r="X51" s="753">
        <f>+'[26]Resumen Modelo'!H41</f>
        <v>0</v>
      </c>
      <c r="Y51" s="753">
        <f>+'[26]Resumen Modelo'!I41</f>
        <v>0</v>
      </c>
      <c r="Z51" s="753">
        <f>+'[26]Resumen Modelo'!J41</f>
        <v>0</v>
      </c>
      <c r="AA51" s="753">
        <f>+'[26]Resumen Modelo'!K41</f>
        <v>0</v>
      </c>
      <c r="AB51" s="753">
        <f>+'[26]Resumen Modelo'!L41</f>
        <v>0</v>
      </c>
      <c r="AC51" s="753">
        <f>+'[26]Resumen Modelo'!M41</f>
        <v>0</v>
      </c>
      <c r="AD51" s="753">
        <f>+'[26]Resumen Modelo'!N41</f>
        <v>0</v>
      </c>
      <c r="AE51" s="753">
        <f>+'[26]Resumen Modelo'!O41</f>
        <v>0</v>
      </c>
      <c r="AF51" s="753">
        <f>+'[26]Resumen Modelo'!P41</f>
        <v>0</v>
      </c>
      <c r="AG51" s="753">
        <f>+'[26]Resumen Modelo'!Q41</f>
        <v>0</v>
      </c>
      <c r="AH51" s="753">
        <f>+'[26]Resumen Modelo'!R41</f>
        <v>0</v>
      </c>
      <c r="AI51" s="788"/>
      <c r="AJ51" s="717" t="str">
        <f>IFERROR(VLOOKUP($V44,#REF!,4,FALSE)," ")</f>
        <v xml:space="preserve"> </v>
      </c>
      <c r="AK51" s="767" t="s">
        <v>151</v>
      </c>
      <c r="AL51" s="768"/>
      <c r="AM51" s="769"/>
      <c r="AN51" s="770"/>
    </row>
    <row r="52" spans="1:40" ht="15" customHeight="1">
      <c r="A52" s="790" t="s">
        <v>151</v>
      </c>
      <c r="C52" s="751"/>
      <c r="D52" s="791"/>
      <c r="E52" s="791"/>
      <c r="F52" s="791"/>
      <c r="G52" s="791"/>
      <c r="H52" s="791"/>
      <c r="I52" s="791"/>
      <c r="J52" s="791"/>
      <c r="K52" s="791"/>
      <c r="L52" s="791"/>
      <c r="M52" s="791"/>
      <c r="N52" s="791"/>
      <c r="O52" s="791"/>
      <c r="P52" s="791"/>
      <c r="Q52" s="754"/>
      <c r="R52" s="755" t="str">
        <f>IFERROR(VLOOKUP($C52,[25]Nod!$A$3:$E$992,4,FALSE)," ")</f>
        <v xml:space="preserve"> </v>
      </c>
      <c r="S52" s="755" t="str">
        <f>IFERROR(VLOOKUP($C52,[25]Nod!$A$3:$E$992,5,FALSE)," ")</f>
        <v xml:space="preserve"> </v>
      </c>
      <c r="T52" s="761" t="s">
        <v>171</v>
      </c>
      <c r="V52" s="751">
        <v>6002</v>
      </c>
      <c r="W52" s="753">
        <f>+'[26]Resumen Modelo'!G42</f>
        <v>156.68</v>
      </c>
      <c r="X52" s="753">
        <f>+'[26]Resumen Modelo'!H42</f>
        <v>197.59</v>
      </c>
      <c r="Y52" s="753">
        <f>+'[26]Resumen Modelo'!I42</f>
        <v>220.1</v>
      </c>
      <c r="Z52" s="753">
        <f>+'[26]Resumen Modelo'!J42</f>
        <v>214.22</v>
      </c>
      <c r="AA52" s="753">
        <f>+'[26]Resumen Modelo'!K42</f>
        <v>201.61</v>
      </c>
      <c r="AB52" s="753">
        <f>+'[26]Resumen Modelo'!L42</f>
        <v>206.85</v>
      </c>
      <c r="AC52" s="753">
        <f>+'[26]Resumen Modelo'!M42</f>
        <v>196.97</v>
      </c>
      <c r="AD52" s="753">
        <f>+'[26]Resumen Modelo'!N42</f>
        <v>234.46</v>
      </c>
      <c r="AE52" s="753">
        <f>+'[26]Resumen Modelo'!O42</f>
        <v>201.8</v>
      </c>
      <c r="AF52" s="753">
        <f>+'[26]Resumen Modelo'!P42</f>
        <v>204.83</v>
      </c>
      <c r="AG52" s="753">
        <f>+'[26]Resumen Modelo'!Q42</f>
        <v>206.8</v>
      </c>
      <c r="AH52" s="753">
        <f>+'[26]Resumen Modelo'!R42</f>
        <v>192.96</v>
      </c>
      <c r="AI52" s="788">
        <f>+MAX(W52:AH52)</f>
        <v>234.46</v>
      </c>
      <c r="AJ52" s="799"/>
      <c r="AK52" s="746">
        <v>7</v>
      </c>
      <c r="AL52" s="747"/>
      <c r="AM52" s="748"/>
      <c r="AN52" s="749">
        <v>1124.3477201625994</v>
      </c>
    </row>
    <row r="53" spans="1:40" ht="15" customHeight="1">
      <c r="A53" s="785">
        <v>4</v>
      </c>
      <c r="B53" s="772"/>
      <c r="C53" s="773"/>
      <c r="D53" s="774">
        <f>SUM(D54:D86)</f>
        <v>449.09100000000001</v>
      </c>
      <c r="E53" s="774">
        <f t="shared" ref="E53:J53" si="8">SUM(E54:E77)</f>
        <v>334.7</v>
      </c>
      <c r="F53" s="774">
        <f t="shared" si="8"/>
        <v>334.7</v>
      </c>
      <c r="G53" s="774">
        <f t="shared" si="8"/>
        <v>334.7</v>
      </c>
      <c r="H53" s="774">
        <f t="shared" si="8"/>
        <v>334.7</v>
      </c>
      <c r="I53" s="774">
        <f t="shared" si="8"/>
        <v>334.7</v>
      </c>
      <c r="J53" s="774">
        <f t="shared" si="8"/>
        <v>334.7</v>
      </c>
      <c r="K53" s="774">
        <f t="shared" ref="K53:P53" si="9">SUM(K54:K77)</f>
        <v>334.7</v>
      </c>
      <c r="L53" s="774">
        <f t="shared" si="9"/>
        <v>334.7</v>
      </c>
      <c r="M53" s="774">
        <f t="shared" si="9"/>
        <v>334.7</v>
      </c>
      <c r="N53" s="774">
        <f t="shared" si="9"/>
        <v>334.7</v>
      </c>
      <c r="O53" s="774">
        <f t="shared" si="9"/>
        <v>333.22</v>
      </c>
      <c r="P53" s="774">
        <f t="shared" si="9"/>
        <v>333.22</v>
      </c>
      <c r="Q53" s="793"/>
      <c r="R53" s="755" t="str">
        <f>IFERROR(VLOOKUP($C53,[25]Nod!$A$3:$E$992,4,FALSE)," ")</f>
        <v xml:space="preserve"> </v>
      </c>
      <c r="S53" s="755" t="str">
        <f>IFERROR(VLOOKUP($C53,[25]Nod!$A$3:$E$992,5,FALSE)," ")</f>
        <v xml:space="preserve"> </v>
      </c>
      <c r="T53" s="761" t="s">
        <v>423</v>
      </c>
      <c r="V53" s="751">
        <v>6004</v>
      </c>
      <c r="W53" s="753">
        <f>+'[26]Resumen Modelo'!G43</f>
        <v>225.18</v>
      </c>
      <c r="X53" s="753">
        <f>+'[26]Resumen Modelo'!H43</f>
        <v>270.56</v>
      </c>
      <c r="Y53" s="753">
        <f>+'[26]Resumen Modelo'!I43</f>
        <v>269.77</v>
      </c>
      <c r="Z53" s="753">
        <f>+'[26]Resumen Modelo'!J43</f>
        <v>259.47000000000003</v>
      </c>
      <c r="AA53" s="753">
        <f>+'[26]Resumen Modelo'!K43</f>
        <v>262.16000000000003</v>
      </c>
      <c r="AB53" s="753">
        <f>+'[26]Resumen Modelo'!L43</f>
        <v>275.49</v>
      </c>
      <c r="AC53" s="753">
        <f>+'[26]Resumen Modelo'!M43</f>
        <v>267.87</v>
      </c>
      <c r="AD53" s="753">
        <f>+'[26]Resumen Modelo'!N43</f>
        <v>270.51</v>
      </c>
      <c r="AE53" s="753">
        <f>+'[26]Resumen Modelo'!O43</f>
        <v>284.16000000000003</v>
      </c>
      <c r="AF53" s="753">
        <f>+'[26]Resumen Modelo'!P43</f>
        <v>308.05</v>
      </c>
      <c r="AG53" s="753">
        <f>+'[26]Resumen Modelo'!Q43</f>
        <v>289.77999999999997</v>
      </c>
      <c r="AH53" s="753">
        <f>+'[26]Resumen Modelo'!R43</f>
        <v>295.33</v>
      </c>
      <c r="AI53" s="788">
        <f t="shared" ref="AI53:AI67" si="10">+MAX(W53:AH53)</f>
        <v>308.05</v>
      </c>
      <c r="AJ53" s="717" t="str">
        <f>IFERROR(VLOOKUP($V46,#REF!,4,FALSE)," ")</f>
        <v xml:space="preserve"> </v>
      </c>
      <c r="AK53" s="757" t="s">
        <v>169</v>
      </c>
      <c r="AL53" s="758"/>
      <c r="AM53" s="759"/>
      <c r="AN53" s="760"/>
    </row>
    <row r="54" spans="1:40" ht="15" customHeight="1">
      <c r="A54" s="750" t="s">
        <v>82</v>
      </c>
      <c r="C54" s="751">
        <v>6380</v>
      </c>
      <c r="D54" s="752">
        <v>10</v>
      </c>
      <c r="E54" s="753">
        <v>10</v>
      </c>
      <c r="F54" s="753">
        <v>10</v>
      </c>
      <c r="G54" s="753">
        <v>10</v>
      </c>
      <c r="H54" s="753">
        <v>10</v>
      </c>
      <c r="I54" s="753">
        <v>10</v>
      </c>
      <c r="J54" s="753">
        <v>10</v>
      </c>
      <c r="K54" s="753">
        <v>10</v>
      </c>
      <c r="L54" s="753">
        <v>10</v>
      </c>
      <c r="M54" s="753">
        <v>10</v>
      </c>
      <c r="N54" s="753">
        <v>10</v>
      </c>
      <c r="O54" s="753">
        <v>10</v>
      </c>
      <c r="P54" s="753">
        <v>10</v>
      </c>
      <c r="Q54" s="754">
        <v>0</v>
      </c>
      <c r="R54" s="755" t="str">
        <f>IFERROR(VLOOKUP($C54,[25]Nod!$A$3:$E$992,4,FALSE)," ")</f>
        <v>BOQIII230</v>
      </c>
      <c r="S54" s="755">
        <f>IFERROR(VLOOKUP($C54,[25]Nod!$A$3:$E$992,5,FALSE)," ")</f>
        <v>4</v>
      </c>
      <c r="T54" s="761" t="s">
        <v>424</v>
      </c>
      <c r="V54" s="751">
        <v>6470</v>
      </c>
      <c r="W54" s="753">
        <f>+'[26]Resumen Modelo'!G44</f>
        <v>63.008277</v>
      </c>
      <c r="X54" s="753">
        <f>+'[26]Resumen Modelo'!H44</f>
        <v>57.199061999999998</v>
      </c>
      <c r="Y54" s="753">
        <f>+'[26]Resumen Modelo'!I44</f>
        <v>67.400000000000006</v>
      </c>
      <c r="Z54" s="753">
        <f>+'[26]Resumen Modelo'!J44</f>
        <v>51.13</v>
      </c>
      <c r="AA54" s="753">
        <f>+'[26]Resumen Modelo'!K44</f>
        <v>55.45317</v>
      </c>
      <c r="AB54" s="753">
        <f>+'[26]Resumen Modelo'!L44</f>
        <v>51.683463000000003</v>
      </c>
      <c r="AC54" s="753">
        <f>+'[26]Resumen Modelo'!M44</f>
        <v>52.453655999999995</v>
      </c>
      <c r="AD54" s="753">
        <f>+'[26]Resumen Modelo'!N44</f>
        <v>53.318403000000004</v>
      </c>
      <c r="AE54" s="753">
        <f>+'[26]Resumen Modelo'!O44</f>
        <v>63.226284999999997</v>
      </c>
      <c r="AF54" s="753">
        <f>+'[26]Resumen Modelo'!P44</f>
        <v>55.339117000000002</v>
      </c>
      <c r="AG54" s="753">
        <f>+'[26]Resumen Modelo'!Q44</f>
        <v>54.922795999999998</v>
      </c>
      <c r="AH54" s="753">
        <f>+'[26]Resumen Modelo'!R44</f>
        <v>53.088116999999997</v>
      </c>
      <c r="AI54" s="788">
        <f t="shared" si="10"/>
        <v>67.400000000000006</v>
      </c>
      <c r="AJ54" s="717" t="str">
        <f>IFERROR(VLOOKUP($V47,#REF!,4,FALSE)," ")</f>
        <v xml:space="preserve"> </v>
      </c>
      <c r="AK54" s="762" t="s">
        <v>171</v>
      </c>
      <c r="AL54" s="758"/>
      <c r="AM54" s="759">
        <v>6002</v>
      </c>
      <c r="AN54" s="760">
        <v>284.75441091273382</v>
      </c>
    </row>
    <row r="55" spans="1:40" ht="15" customHeight="1">
      <c r="A55" s="750" t="s">
        <v>162</v>
      </c>
      <c r="C55" s="751">
        <v>6380</v>
      </c>
      <c r="D55" s="752">
        <v>4.75</v>
      </c>
      <c r="E55" s="753">
        <v>5.25</v>
      </c>
      <c r="F55" s="753">
        <v>5.25</v>
      </c>
      <c r="G55" s="753">
        <v>5.25</v>
      </c>
      <c r="H55" s="753">
        <v>5.25</v>
      </c>
      <c r="I55" s="753">
        <v>5.25</v>
      </c>
      <c r="J55" s="753">
        <v>5.25</v>
      </c>
      <c r="K55" s="753">
        <v>5.25</v>
      </c>
      <c r="L55" s="753">
        <v>5.25</v>
      </c>
      <c r="M55" s="753">
        <v>5.25</v>
      </c>
      <c r="N55" s="753">
        <v>5.25</v>
      </c>
      <c r="O55" s="753">
        <v>5.25</v>
      </c>
      <c r="P55" s="753">
        <v>5.25</v>
      </c>
      <c r="Q55" s="754">
        <v>0</v>
      </c>
      <c r="R55" s="755" t="str">
        <f>IFERROR(VLOOKUP($C55,[25]Nod!$A$3:$E$992,4,FALSE)," ")</f>
        <v>BOQIII230</v>
      </c>
      <c r="S55" s="755">
        <f>IFERROR(VLOOKUP($C55,[25]Nod!$A$3:$E$992,5,FALSE)," ")</f>
        <v>4</v>
      </c>
      <c r="T55" s="761"/>
      <c r="V55" s="751"/>
      <c r="W55" s="753">
        <f>+'[26]Resumen Modelo'!G45</f>
        <v>0</v>
      </c>
      <c r="X55" s="753">
        <f>+'[26]Resumen Modelo'!H45</f>
        <v>0</v>
      </c>
      <c r="Y55" s="753">
        <f>+'[26]Resumen Modelo'!I45</f>
        <v>0</v>
      </c>
      <c r="Z55" s="753">
        <f>+'[26]Resumen Modelo'!J45</f>
        <v>0</v>
      </c>
      <c r="AA55" s="753">
        <f>+'[26]Resumen Modelo'!K45</f>
        <v>0</v>
      </c>
      <c r="AB55" s="753">
        <f>+'[26]Resumen Modelo'!L45</f>
        <v>0</v>
      </c>
      <c r="AC55" s="753">
        <f>+'[26]Resumen Modelo'!M45</f>
        <v>0</v>
      </c>
      <c r="AD55" s="753">
        <f>+'[26]Resumen Modelo'!N45</f>
        <v>0</v>
      </c>
      <c r="AE55" s="753">
        <f>+'[26]Resumen Modelo'!O45</f>
        <v>0</v>
      </c>
      <c r="AF55" s="753">
        <f>+'[26]Resumen Modelo'!P45</f>
        <v>0</v>
      </c>
      <c r="AG55" s="753">
        <f>+'[26]Resumen Modelo'!Q45</f>
        <v>0</v>
      </c>
      <c r="AH55" s="753">
        <f>+'[26]Resumen Modelo'!R45</f>
        <v>0</v>
      </c>
      <c r="AI55" s="788"/>
      <c r="AJ55" s="717" t="str">
        <f>IFERROR(VLOOKUP($V48,#REF!,4,FALSE)," ")</f>
        <v xml:space="preserve"> </v>
      </c>
      <c r="AK55" s="762" t="s">
        <v>423</v>
      </c>
      <c r="AL55" s="758"/>
      <c r="AM55" s="759">
        <v>6004</v>
      </c>
      <c r="AN55" s="760">
        <v>286.16559369218129</v>
      </c>
    </row>
    <row r="56" spans="1:40" ht="15" customHeight="1">
      <c r="A56" s="750" t="s">
        <v>88</v>
      </c>
      <c r="C56" s="751">
        <v>6013</v>
      </c>
      <c r="D56" s="752">
        <v>6.12</v>
      </c>
      <c r="E56" s="753">
        <v>6.12</v>
      </c>
      <c r="F56" s="753">
        <v>6.12</v>
      </c>
      <c r="G56" s="753">
        <v>6.12</v>
      </c>
      <c r="H56" s="753">
        <v>6.12</v>
      </c>
      <c r="I56" s="753">
        <v>6.12</v>
      </c>
      <c r="J56" s="753">
        <v>6.12</v>
      </c>
      <c r="K56" s="753">
        <v>6.12</v>
      </c>
      <c r="L56" s="753">
        <v>6.12</v>
      </c>
      <c r="M56" s="753">
        <v>6.12</v>
      </c>
      <c r="N56" s="753">
        <v>6.12</v>
      </c>
      <c r="O56" s="753">
        <v>6.12</v>
      </c>
      <c r="P56" s="753">
        <v>6.12</v>
      </c>
      <c r="Q56" s="754">
        <v>0</v>
      </c>
      <c r="R56" s="755" t="str">
        <f>IFERROR(VLOOKUP($C56,[25]Nod!$A$3:$E$992,4,FALSE)," ")</f>
        <v>MDN34</v>
      </c>
      <c r="S56" s="755">
        <f>IFERROR(VLOOKUP($C56,[25]Nod!$A$3:$E$992,5,FALSE)," ")</f>
        <v>4</v>
      </c>
      <c r="T56" s="756" t="s">
        <v>156</v>
      </c>
      <c r="V56" s="751"/>
      <c r="W56" s="753">
        <f>+'[26]Resumen Modelo'!G46</f>
        <v>0</v>
      </c>
      <c r="X56" s="753">
        <f>+'[26]Resumen Modelo'!H46</f>
        <v>0</v>
      </c>
      <c r="Y56" s="753">
        <f>+'[26]Resumen Modelo'!I46</f>
        <v>0</v>
      </c>
      <c r="Z56" s="753">
        <f>+'[26]Resumen Modelo'!J46</f>
        <v>0</v>
      </c>
      <c r="AA56" s="753">
        <f>+'[26]Resumen Modelo'!K46</f>
        <v>0</v>
      </c>
      <c r="AB56" s="753">
        <f>+'[26]Resumen Modelo'!L46</f>
        <v>0</v>
      </c>
      <c r="AC56" s="753">
        <f>+'[26]Resumen Modelo'!M46</f>
        <v>0</v>
      </c>
      <c r="AD56" s="753">
        <f>+'[26]Resumen Modelo'!N46</f>
        <v>0</v>
      </c>
      <c r="AE56" s="753">
        <f>+'[26]Resumen Modelo'!O46</f>
        <v>0</v>
      </c>
      <c r="AF56" s="753">
        <f>+'[26]Resumen Modelo'!P46</f>
        <v>0</v>
      </c>
      <c r="AG56" s="753">
        <f>+'[26]Resumen Modelo'!Q46</f>
        <v>0</v>
      </c>
      <c r="AH56" s="753">
        <f>+'[26]Resumen Modelo'!R46</f>
        <v>0</v>
      </c>
      <c r="AI56" s="788"/>
      <c r="AJ56" s="717" t="str">
        <f>IFERROR(VLOOKUP($V49,#REF!,4,FALSE)," ")</f>
        <v xml:space="preserve"> </v>
      </c>
      <c r="AK56" s="762"/>
      <c r="AL56" s="758"/>
      <c r="AM56" s="759"/>
      <c r="AN56" s="760"/>
    </row>
    <row r="57" spans="1:40" ht="15" customHeight="1">
      <c r="A57" s="750" t="s">
        <v>163</v>
      </c>
      <c r="C57" s="751">
        <v>6013</v>
      </c>
      <c r="D57" s="752">
        <v>4.95</v>
      </c>
      <c r="E57" s="753">
        <v>4.95</v>
      </c>
      <c r="F57" s="753">
        <v>4.95</v>
      </c>
      <c r="G57" s="753">
        <v>4.95</v>
      </c>
      <c r="H57" s="753">
        <v>4.95</v>
      </c>
      <c r="I57" s="753">
        <v>4.95</v>
      </c>
      <c r="J57" s="753">
        <v>4.95</v>
      </c>
      <c r="K57" s="753">
        <v>4.95</v>
      </c>
      <c r="L57" s="753">
        <v>4.95</v>
      </c>
      <c r="M57" s="753">
        <v>4.95</v>
      </c>
      <c r="N57" s="753">
        <v>4.95</v>
      </c>
      <c r="O57" s="753">
        <v>4.95</v>
      </c>
      <c r="P57" s="753">
        <v>4.95</v>
      </c>
      <c r="Q57" s="754">
        <v>0</v>
      </c>
      <c r="R57" s="755" t="str">
        <f>IFERROR(VLOOKUP($C57,[25]Nod!$A$3:$E$992,4,FALSE)," ")</f>
        <v>MDN34</v>
      </c>
      <c r="S57" s="755">
        <f>IFERROR(VLOOKUP($C57,[25]Nod!$A$3:$E$992,5,FALSE)," ")</f>
        <v>4</v>
      </c>
      <c r="T57" s="761" t="s">
        <v>171</v>
      </c>
      <c r="V57" s="751">
        <v>6002</v>
      </c>
      <c r="W57" s="788">
        <f>+'[26]Resumen Modelo'!G47</f>
        <v>411.89</v>
      </c>
      <c r="X57" s="788">
        <f>+'[26]Resumen Modelo'!H47</f>
        <v>409.8</v>
      </c>
      <c r="Y57" s="788">
        <f>+'[26]Resumen Modelo'!I47</f>
        <v>411.8</v>
      </c>
      <c r="Z57" s="788">
        <f>+'[26]Resumen Modelo'!J47</f>
        <v>410.14</v>
      </c>
      <c r="AA57" s="788">
        <f>+'[26]Resumen Modelo'!K47</f>
        <v>401.64</v>
      </c>
      <c r="AB57" s="788">
        <f>+'[26]Resumen Modelo'!L47</f>
        <v>411.4</v>
      </c>
      <c r="AC57" s="788">
        <f>+'[26]Resumen Modelo'!M47</f>
        <v>398.15</v>
      </c>
      <c r="AD57" s="788">
        <f>+'[26]Resumen Modelo'!N47</f>
        <v>409.06</v>
      </c>
      <c r="AE57" s="788">
        <f>+'[26]Resumen Modelo'!O47</f>
        <v>418.17</v>
      </c>
      <c r="AF57" s="788">
        <f>+'[26]Resumen Modelo'!P47</f>
        <v>424.91</v>
      </c>
      <c r="AG57" s="788">
        <f>+'[26]Resumen Modelo'!Q47</f>
        <v>433.52</v>
      </c>
      <c r="AH57" s="788">
        <f>+'[26]Resumen Modelo'!R47</f>
        <v>408.09</v>
      </c>
      <c r="AI57" s="788">
        <f t="shared" si="10"/>
        <v>433.52</v>
      </c>
      <c r="AJ57" s="717" t="str">
        <f>IFERROR(VLOOKUP($V50,#REF!,4,FALSE)," ")</f>
        <v xml:space="preserve"> </v>
      </c>
      <c r="AK57" s="757" t="s">
        <v>156</v>
      </c>
      <c r="AL57" s="758"/>
      <c r="AM57" s="759"/>
      <c r="AN57" s="760"/>
    </row>
    <row r="58" spans="1:40" ht="15" customHeight="1">
      <c r="A58" s="750" t="s">
        <v>81</v>
      </c>
      <c r="C58" s="751">
        <v>6380</v>
      </c>
      <c r="D58" s="752">
        <v>20</v>
      </c>
      <c r="E58" s="753">
        <v>20</v>
      </c>
      <c r="F58" s="753">
        <v>20</v>
      </c>
      <c r="G58" s="753">
        <v>20</v>
      </c>
      <c r="H58" s="753">
        <v>20</v>
      </c>
      <c r="I58" s="753">
        <v>20</v>
      </c>
      <c r="J58" s="753">
        <v>20</v>
      </c>
      <c r="K58" s="753">
        <v>20</v>
      </c>
      <c r="L58" s="753">
        <v>20</v>
      </c>
      <c r="M58" s="753">
        <v>20</v>
      </c>
      <c r="N58" s="753">
        <v>20</v>
      </c>
      <c r="O58" s="753">
        <v>20</v>
      </c>
      <c r="P58" s="753">
        <v>20</v>
      </c>
      <c r="Q58" s="754">
        <v>0</v>
      </c>
      <c r="R58" s="755" t="str">
        <f>IFERROR(VLOOKUP($C58,[25]Nod!$A$3:$E$992,4,FALSE)," ")</f>
        <v>BOQIII230</v>
      </c>
      <c r="S58" s="755">
        <f>IFERROR(VLOOKUP($C58,[25]Nod!$A$3:$E$992,5,FALSE)," ")</f>
        <v>4</v>
      </c>
      <c r="T58" s="756" t="s">
        <v>159</v>
      </c>
      <c r="V58" s="751"/>
      <c r="W58" s="753">
        <f>+'[26]Resumen Modelo'!G48</f>
        <v>0</v>
      </c>
      <c r="X58" s="753">
        <f>+'[26]Resumen Modelo'!H48</f>
        <v>0</v>
      </c>
      <c r="Y58" s="753">
        <f>+'[26]Resumen Modelo'!I48</f>
        <v>0</v>
      </c>
      <c r="Z58" s="753">
        <f>+'[26]Resumen Modelo'!J48</f>
        <v>0</v>
      </c>
      <c r="AA58" s="753">
        <f>+'[26]Resumen Modelo'!K48</f>
        <v>0</v>
      </c>
      <c r="AB58" s="753">
        <f>+'[26]Resumen Modelo'!L48</f>
        <v>0</v>
      </c>
      <c r="AC58" s="753">
        <f>+'[26]Resumen Modelo'!M48</f>
        <v>0</v>
      </c>
      <c r="AD58" s="753">
        <f>+'[26]Resumen Modelo'!N48</f>
        <v>0</v>
      </c>
      <c r="AE58" s="753">
        <f>+'[26]Resumen Modelo'!O48</f>
        <v>0</v>
      </c>
      <c r="AF58" s="753">
        <f>+'[26]Resumen Modelo'!P48</f>
        <v>0</v>
      </c>
      <c r="AG58" s="753">
        <f>+'[26]Resumen Modelo'!Q48</f>
        <v>0</v>
      </c>
      <c r="AH58" s="753">
        <f>+'[26]Resumen Modelo'!R48</f>
        <v>0</v>
      </c>
      <c r="AI58" s="788"/>
      <c r="AJ58" s="717" t="str">
        <f>IFERROR(VLOOKUP($V51,#REF!,4,FALSE)," ")</f>
        <v xml:space="preserve"> </v>
      </c>
      <c r="AK58" s="762" t="s">
        <v>171</v>
      </c>
      <c r="AL58" s="758"/>
      <c r="AM58" s="759">
        <v>6002</v>
      </c>
      <c r="AN58" s="760">
        <v>517.89</v>
      </c>
    </row>
    <row r="59" spans="1:40" ht="15" customHeight="1">
      <c r="A59" s="750" t="s">
        <v>165</v>
      </c>
      <c r="C59" s="751">
        <v>6380</v>
      </c>
      <c r="D59" s="752">
        <v>14</v>
      </c>
      <c r="E59" s="753">
        <v>14</v>
      </c>
      <c r="F59" s="753">
        <v>14</v>
      </c>
      <c r="G59" s="753">
        <v>14</v>
      </c>
      <c r="H59" s="753">
        <v>14</v>
      </c>
      <c r="I59" s="753">
        <v>14</v>
      </c>
      <c r="J59" s="753">
        <v>14</v>
      </c>
      <c r="K59" s="753">
        <v>14</v>
      </c>
      <c r="L59" s="753">
        <v>14</v>
      </c>
      <c r="M59" s="753">
        <v>14</v>
      </c>
      <c r="N59" s="753">
        <v>14</v>
      </c>
      <c r="O59" s="753">
        <v>12.52</v>
      </c>
      <c r="P59" s="753">
        <v>12.52</v>
      </c>
      <c r="Q59" s="754">
        <v>0</v>
      </c>
      <c r="R59" s="755" t="str">
        <f>IFERROR(VLOOKUP($C59,[25]Nod!$A$3:$E$992,4,FALSE)," ")</f>
        <v>BOQIII230</v>
      </c>
      <c r="S59" s="755">
        <f>IFERROR(VLOOKUP($C59,[25]Nod!$A$3:$E$992,5,FALSE)," ")</f>
        <v>4</v>
      </c>
      <c r="T59" s="761" t="s">
        <v>175</v>
      </c>
      <c r="V59" s="751">
        <v>6024</v>
      </c>
      <c r="W59" s="753">
        <f>+'[26]Resumen Modelo'!G49</f>
        <v>18.649999999999999</v>
      </c>
      <c r="X59" s="753">
        <f>+'[26]Resumen Modelo'!H49</f>
        <v>15.14</v>
      </c>
      <c r="Y59" s="753">
        <f>+'[26]Resumen Modelo'!I49</f>
        <v>15.31</v>
      </c>
      <c r="Z59" s="753">
        <f>+'[26]Resumen Modelo'!J49</f>
        <v>15.36</v>
      </c>
      <c r="AA59" s="753">
        <f>+'[26]Resumen Modelo'!K49</f>
        <v>15.05</v>
      </c>
      <c r="AB59" s="753">
        <f>+'[26]Resumen Modelo'!L49</f>
        <v>27.89</v>
      </c>
      <c r="AC59" s="753">
        <f>+'[26]Resumen Modelo'!M49</f>
        <v>14.23</v>
      </c>
      <c r="AD59" s="753">
        <f>+'[26]Resumen Modelo'!N49</f>
        <v>14.11</v>
      </c>
      <c r="AE59" s="753">
        <f>+'[26]Resumen Modelo'!O49</f>
        <v>16.34</v>
      </c>
      <c r="AF59" s="753">
        <f>+'[26]Resumen Modelo'!P49</f>
        <v>14.51</v>
      </c>
      <c r="AG59" s="753">
        <f>+'[26]Resumen Modelo'!Q49</f>
        <v>14.52</v>
      </c>
      <c r="AH59" s="753">
        <f>+'[26]Resumen Modelo'!R49</f>
        <v>14.93</v>
      </c>
      <c r="AI59" s="788">
        <f t="shared" si="10"/>
        <v>27.89</v>
      </c>
      <c r="AJ59" s="717"/>
      <c r="AK59" s="757" t="s">
        <v>159</v>
      </c>
      <c r="AL59" s="758"/>
      <c r="AM59" s="759"/>
      <c r="AN59" s="760"/>
    </row>
    <row r="60" spans="1:40" ht="15" customHeight="1">
      <c r="A60" s="750" t="s">
        <v>166</v>
      </c>
      <c r="C60" s="751">
        <v>6380</v>
      </c>
      <c r="D60" s="752">
        <v>14</v>
      </c>
      <c r="E60" s="753">
        <v>14</v>
      </c>
      <c r="F60" s="753">
        <v>14</v>
      </c>
      <c r="G60" s="753">
        <v>14</v>
      </c>
      <c r="H60" s="753">
        <v>14</v>
      </c>
      <c r="I60" s="753">
        <v>14</v>
      </c>
      <c r="J60" s="753">
        <v>14</v>
      </c>
      <c r="K60" s="753">
        <v>14</v>
      </c>
      <c r="L60" s="753">
        <v>14</v>
      </c>
      <c r="M60" s="753">
        <v>14</v>
      </c>
      <c r="N60" s="753">
        <v>14</v>
      </c>
      <c r="O60" s="753">
        <v>14</v>
      </c>
      <c r="P60" s="753">
        <v>14</v>
      </c>
      <c r="Q60" s="754">
        <v>0</v>
      </c>
      <c r="R60" s="755" t="str">
        <f>IFERROR(VLOOKUP($C60,[25]Nod!$A$3:$E$992,4,FALSE)," ")</f>
        <v>BOQIII230</v>
      </c>
      <c r="S60" s="755">
        <f>IFERROR(VLOOKUP($C60,[25]Nod!$A$3:$E$992,5,FALSE)," ")</f>
        <v>4</v>
      </c>
      <c r="T60" s="761" t="s">
        <v>179</v>
      </c>
      <c r="V60" s="751">
        <v>6002</v>
      </c>
      <c r="W60" s="753">
        <f>+'[26]Resumen Modelo'!G50</f>
        <v>0.76</v>
      </c>
      <c r="X60" s="753">
        <f>+'[26]Resumen Modelo'!H50</f>
        <v>0.76</v>
      </c>
      <c r="Y60" s="753">
        <f>+'[26]Resumen Modelo'!I50</f>
        <v>0.74</v>
      </c>
      <c r="Z60" s="753">
        <f>+'[26]Resumen Modelo'!J50</f>
        <v>0.75</v>
      </c>
      <c r="AA60" s="753">
        <f>+'[26]Resumen Modelo'!K50</f>
        <v>0.73</v>
      </c>
      <c r="AB60" s="753">
        <f>+'[26]Resumen Modelo'!L50</f>
        <v>0.74</v>
      </c>
      <c r="AC60" s="753">
        <f>+'[26]Resumen Modelo'!M50</f>
        <v>0.74</v>
      </c>
      <c r="AD60" s="753">
        <f>+'[26]Resumen Modelo'!N50</f>
        <v>0.74</v>
      </c>
      <c r="AE60" s="753">
        <f>+'[26]Resumen Modelo'!O50</f>
        <v>0.75</v>
      </c>
      <c r="AF60" s="753">
        <f>+'[26]Resumen Modelo'!P50</f>
        <v>0.76</v>
      </c>
      <c r="AG60" s="753">
        <f>+'[26]Resumen Modelo'!Q50</f>
        <v>0.81</v>
      </c>
      <c r="AH60" s="753">
        <f>+'[26]Resumen Modelo'!R50</f>
        <v>0.72</v>
      </c>
      <c r="AI60" s="788">
        <f t="shared" si="10"/>
        <v>0.81</v>
      </c>
      <c r="AJ60" s="717" t="str">
        <f>IFERROR(VLOOKUP($V52,#REF!,4,FALSE)," ")</f>
        <v xml:space="preserve"> </v>
      </c>
      <c r="AK60" s="762" t="s">
        <v>175</v>
      </c>
      <c r="AL60" s="758"/>
      <c r="AM60" s="759">
        <v>6024</v>
      </c>
      <c r="AN60" s="760">
        <v>24.14123591370431</v>
      </c>
    </row>
    <row r="61" spans="1:40" ht="15" customHeight="1">
      <c r="A61" s="800" t="s">
        <v>0</v>
      </c>
      <c r="C61" s="801">
        <v>6013</v>
      </c>
      <c r="D61" s="752">
        <v>2.5</v>
      </c>
      <c r="E61" s="753">
        <v>0</v>
      </c>
      <c r="F61" s="753">
        <v>0</v>
      </c>
      <c r="G61" s="753">
        <v>0</v>
      </c>
      <c r="H61" s="753">
        <v>0</v>
      </c>
      <c r="I61" s="753">
        <v>0</v>
      </c>
      <c r="J61" s="753">
        <v>0</v>
      </c>
      <c r="K61" s="753">
        <v>0</v>
      </c>
      <c r="L61" s="753">
        <v>0</v>
      </c>
      <c r="M61" s="753">
        <v>0</v>
      </c>
      <c r="N61" s="753">
        <v>0</v>
      </c>
      <c r="O61" s="753">
        <v>0</v>
      </c>
      <c r="P61" s="753">
        <v>0</v>
      </c>
      <c r="Q61" s="779">
        <v>13</v>
      </c>
      <c r="R61" s="755" t="str">
        <f>IFERROR(VLOOKUP($C61,[25]Nod!$A$3:$E$992,4,FALSE)," ")</f>
        <v>MDN34</v>
      </c>
      <c r="S61" s="755">
        <f>IFERROR(VLOOKUP($C61,[25]Nod!$A$3:$E$992,5,FALSE)," ")</f>
        <v>4</v>
      </c>
      <c r="T61" s="761" t="s">
        <v>160</v>
      </c>
      <c r="V61" s="751">
        <v>6002</v>
      </c>
      <c r="W61" s="753">
        <f>+'[26]Resumen Modelo'!G51</f>
        <v>3.4299999999999997</v>
      </c>
      <c r="X61" s="753">
        <f>+'[26]Resumen Modelo'!H51</f>
        <v>3.3100000000000005</v>
      </c>
      <c r="Y61" s="753">
        <f>+'[26]Resumen Modelo'!I51</f>
        <v>3.37</v>
      </c>
      <c r="Z61" s="753">
        <f>+'[26]Resumen Modelo'!J51</f>
        <v>3.3200000000000003</v>
      </c>
      <c r="AA61" s="753">
        <f>+'[26]Resumen Modelo'!K51</f>
        <v>3.2800000000000007</v>
      </c>
      <c r="AB61" s="753">
        <f>+'[26]Resumen Modelo'!L51</f>
        <v>3.38</v>
      </c>
      <c r="AC61" s="753">
        <f>+'[26]Resumen Modelo'!M51</f>
        <v>3.25</v>
      </c>
      <c r="AD61" s="753">
        <f>+'[26]Resumen Modelo'!N51</f>
        <v>3.2800000000000002</v>
      </c>
      <c r="AE61" s="753">
        <f>+'[26]Resumen Modelo'!O51</f>
        <v>3.27</v>
      </c>
      <c r="AF61" s="753">
        <f>+'[26]Resumen Modelo'!P51</f>
        <v>3.3100000000000005</v>
      </c>
      <c r="AG61" s="753">
        <f>+'[26]Resumen Modelo'!Q51</f>
        <v>3.2900000000000005</v>
      </c>
      <c r="AH61" s="753">
        <f>+'[26]Resumen Modelo'!R51</f>
        <v>3.2300000000000004</v>
      </c>
      <c r="AI61" s="788">
        <f t="shared" si="10"/>
        <v>3.4299999999999997</v>
      </c>
      <c r="AJ61" s="717" t="str">
        <f>IFERROR(VLOOKUP($V53,#REF!,4,FALSE)," ")</f>
        <v xml:space="preserve"> </v>
      </c>
      <c r="AK61" s="762" t="s">
        <v>179</v>
      </c>
      <c r="AL61" s="758"/>
      <c r="AM61" s="759">
        <v>6002</v>
      </c>
      <c r="AN61" s="760">
        <v>1.1599999999999999</v>
      </c>
    </row>
    <row r="62" spans="1:40" ht="15" customHeight="1">
      <c r="A62" s="800" t="s">
        <v>1</v>
      </c>
      <c r="C62" s="801">
        <v>6013</v>
      </c>
      <c r="D62" s="752">
        <v>3.12</v>
      </c>
      <c r="E62" s="753">
        <v>0</v>
      </c>
      <c r="F62" s="753">
        <v>0</v>
      </c>
      <c r="G62" s="753">
        <v>0</v>
      </c>
      <c r="H62" s="753">
        <v>0</v>
      </c>
      <c r="I62" s="753">
        <v>0</v>
      </c>
      <c r="J62" s="753">
        <v>0</v>
      </c>
      <c r="K62" s="753">
        <v>0</v>
      </c>
      <c r="L62" s="753">
        <v>0</v>
      </c>
      <c r="M62" s="753">
        <v>0</v>
      </c>
      <c r="N62" s="753">
        <v>0</v>
      </c>
      <c r="O62" s="753">
        <v>0</v>
      </c>
      <c r="P62" s="753">
        <v>0</v>
      </c>
      <c r="Q62" s="779">
        <v>13</v>
      </c>
      <c r="R62" s="755" t="str">
        <f>IFERROR(VLOOKUP($C62,[25]Nod!$A$3:$E$992,4,FALSE)," ")</f>
        <v>MDN34</v>
      </c>
      <c r="S62" s="755">
        <f>IFERROR(VLOOKUP($C62,[25]Nod!$A$3:$E$992,5,FALSE)," ")</f>
        <v>4</v>
      </c>
      <c r="T62" s="761" t="s">
        <v>181</v>
      </c>
      <c r="V62" s="751">
        <v>6002</v>
      </c>
      <c r="W62" s="753">
        <f>+'[26]Resumen Modelo'!G52</f>
        <v>1.2</v>
      </c>
      <c r="X62" s="753">
        <f>+'[26]Resumen Modelo'!H52</f>
        <v>1.1599999999999999</v>
      </c>
      <c r="Y62" s="753">
        <f>+'[26]Resumen Modelo'!I52</f>
        <v>1.19</v>
      </c>
      <c r="Z62" s="753">
        <f>+'[26]Resumen Modelo'!J52</f>
        <v>1.18</v>
      </c>
      <c r="AA62" s="753">
        <f>+'[26]Resumen Modelo'!K52</f>
        <v>1.17</v>
      </c>
      <c r="AB62" s="753">
        <f>+'[26]Resumen Modelo'!L52</f>
        <v>1.2</v>
      </c>
      <c r="AC62" s="753">
        <f>+'[26]Resumen Modelo'!M52</f>
        <v>1.2</v>
      </c>
      <c r="AD62" s="753">
        <f>+'[26]Resumen Modelo'!N52</f>
        <v>1.22</v>
      </c>
      <c r="AE62" s="753">
        <f>+'[26]Resumen Modelo'!O52</f>
        <v>1.22</v>
      </c>
      <c r="AF62" s="753">
        <f>+'[26]Resumen Modelo'!P52</f>
        <v>1.22</v>
      </c>
      <c r="AG62" s="753">
        <f>+'[26]Resumen Modelo'!Q52</f>
        <v>1.25</v>
      </c>
      <c r="AH62" s="753">
        <f>+'[26]Resumen Modelo'!R52</f>
        <v>1.24</v>
      </c>
      <c r="AI62" s="788">
        <f>SUM(W62:AH62)</f>
        <v>14.450000000000001</v>
      </c>
      <c r="AJ62" s="717"/>
      <c r="AK62" s="762" t="s">
        <v>160</v>
      </c>
      <c r="AL62" s="758"/>
      <c r="AM62" s="759">
        <v>6002</v>
      </c>
      <c r="AN62" s="760">
        <v>3.9782919721040182</v>
      </c>
    </row>
    <row r="63" spans="1:40" ht="15" customHeight="1">
      <c r="A63" s="750" t="s">
        <v>168</v>
      </c>
      <c r="C63" s="751">
        <v>6380</v>
      </c>
      <c r="D63" s="752">
        <v>10</v>
      </c>
      <c r="E63" s="753">
        <v>10</v>
      </c>
      <c r="F63" s="753">
        <v>10</v>
      </c>
      <c r="G63" s="753">
        <v>10</v>
      </c>
      <c r="H63" s="753">
        <v>10</v>
      </c>
      <c r="I63" s="753">
        <v>10</v>
      </c>
      <c r="J63" s="753">
        <v>10</v>
      </c>
      <c r="K63" s="753">
        <v>10</v>
      </c>
      <c r="L63" s="753">
        <v>10</v>
      </c>
      <c r="M63" s="753">
        <v>10</v>
      </c>
      <c r="N63" s="753">
        <v>10</v>
      </c>
      <c r="O63" s="753">
        <v>10</v>
      </c>
      <c r="P63" s="753">
        <v>10</v>
      </c>
      <c r="Q63" s="754">
        <v>0</v>
      </c>
      <c r="R63" s="755" t="str">
        <f>IFERROR(VLOOKUP($C63,[25]Nod!$A$3:$E$992,4,FALSE)," ")</f>
        <v>BOQIII230</v>
      </c>
      <c r="S63" s="755">
        <f>IFERROR(VLOOKUP($C63,[25]Nod!$A$3:$E$992,5,FALSE)," ")</f>
        <v>4</v>
      </c>
      <c r="T63" s="761" t="s">
        <v>425</v>
      </c>
      <c r="V63" s="751">
        <v>6002</v>
      </c>
      <c r="W63" s="753">
        <f>+'[26]Resumen Modelo'!G53</f>
        <v>0.15</v>
      </c>
      <c r="X63" s="753">
        <f>+'[26]Resumen Modelo'!H53</f>
        <v>0.15</v>
      </c>
      <c r="Y63" s="753">
        <f>+'[26]Resumen Modelo'!I53</f>
        <v>0.15</v>
      </c>
      <c r="Z63" s="753">
        <f>+'[26]Resumen Modelo'!J53</f>
        <v>0.15</v>
      </c>
      <c r="AA63" s="753">
        <f>+'[26]Resumen Modelo'!K53</f>
        <v>0.17</v>
      </c>
      <c r="AB63" s="753">
        <f>+'[26]Resumen Modelo'!L53</f>
        <v>0.16</v>
      </c>
      <c r="AC63" s="753">
        <f>+'[26]Resumen Modelo'!M53</f>
        <v>0.16</v>
      </c>
      <c r="AD63" s="753">
        <f>+'[26]Resumen Modelo'!N53</f>
        <v>0.17</v>
      </c>
      <c r="AE63" s="753">
        <f>+'[26]Resumen Modelo'!O53</f>
        <v>0.16</v>
      </c>
      <c r="AF63" s="753">
        <f>+'[26]Resumen Modelo'!P53</f>
        <v>0.16</v>
      </c>
      <c r="AG63" s="753">
        <f>+'[26]Resumen Modelo'!Q53</f>
        <v>0.16</v>
      </c>
      <c r="AH63" s="753">
        <f>+'[26]Resumen Modelo'!R53</f>
        <v>0.15</v>
      </c>
      <c r="AI63" s="788">
        <f>SUM(W63:AH63)</f>
        <v>1.8899999999999997</v>
      </c>
      <c r="AJ63" s="717" t="str">
        <f>IFERROR(VLOOKUP($V55,#REF!,4,FALSE)," ")</f>
        <v xml:space="preserve"> </v>
      </c>
      <c r="AK63" s="762" t="s">
        <v>181</v>
      </c>
      <c r="AL63" s="758"/>
      <c r="AM63" s="759">
        <v>6002</v>
      </c>
      <c r="AN63" s="760">
        <v>0.91532859317102244</v>
      </c>
    </row>
    <row r="64" spans="1:40" ht="15" customHeight="1">
      <c r="A64" s="750" t="s">
        <v>170</v>
      </c>
      <c r="C64" s="751">
        <v>6380</v>
      </c>
      <c r="D64" s="752">
        <v>10</v>
      </c>
      <c r="E64" s="753">
        <v>10</v>
      </c>
      <c r="F64" s="753">
        <v>10</v>
      </c>
      <c r="G64" s="753">
        <v>10</v>
      </c>
      <c r="H64" s="753">
        <v>10</v>
      </c>
      <c r="I64" s="753">
        <v>10</v>
      </c>
      <c r="J64" s="753">
        <v>10</v>
      </c>
      <c r="K64" s="753">
        <v>10</v>
      </c>
      <c r="L64" s="753">
        <v>10</v>
      </c>
      <c r="M64" s="753">
        <v>10</v>
      </c>
      <c r="N64" s="753">
        <v>10</v>
      </c>
      <c r="O64" s="753">
        <v>10</v>
      </c>
      <c r="P64" s="753">
        <v>10</v>
      </c>
      <c r="Q64" s="754">
        <v>0</v>
      </c>
      <c r="R64" s="755" t="str">
        <f>IFERROR(VLOOKUP($C64,[25]Nod!$A$3:$E$992,4,FALSE)," ")</f>
        <v>BOQIII230</v>
      </c>
      <c r="S64" s="755">
        <f>IFERROR(VLOOKUP($C64,[25]Nod!$A$3:$E$992,5,FALSE)," ")</f>
        <v>4</v>
      </c>
      <c r="T64" s="761" t="s">
        <v>426</v>
      </c>
      <c r="V64" s="751">
        <v>6002</v>
      </c>
      <c r="W64" s="753">
        <f>+'[26]Resumen Modelo'!G54</f>
        <v>1.18</v>
      </c>
      <c r="X64" s="753">
        <f>+'[26]Resumen Modelo'!H54</f>
        <v>1.1599999999999999</v>
      </c>
      <c r="Y64" s="753">
        <f>+'[26]Resumen Modelo'!I54</f>
        <v>1.2</v>
      </c>
      <c r="Z64" s="753">
        <f>+'[26]Resumen Modelo'!J54</f>
        <v>1.2</v>
      </c>
      <c r="AA64" s="753">
        <f>+'[26]Resumen Modelo'!K54</f>
        <v>1.29</v>
      </c>
      <c r="AB64" s="753">
        <f>+'[26]Resumen Modelo'!L54</f>
        <v>1.21</v>
      </c>
      <c r="AC64" s="753">
        <f>+'[26]Resumen Modelo'!M54</f>
        <v>1.17</v>
      </c>
      <c r="AD64" s="753">
        <f>+'[26]Resumen Modelo'!N54</f>
        <v>1.18</v>
      </c>
      <c r="AE64" s="753">
        <f>+'[26]Resumen Modelo'!O54</f>
        <v>1.1599999999999999</v>
      </c>
      <c r="AF64" s="753">
        <f>+'[26]Resumen Modelo'!P54</f>
        <v>1.1599999999999999</v>
      </c>
      <c r="AG64" s="753">
        <f>+'[26]Resumen Modelo'!Q54</f>
        <v>1.25</v>
      </c>
      <c r="AH64" s="753">
        <f>+'[26]Resumen Modelo'!R54</f>
        <v>1.2</v>
      </c>
      <c r="AI64" s="788">
        <f>SUM(W64:AH64)</f>
        <v>14.36</v>
      </c>
      <c r="AJ64" s="717" t="str">
        <f>IFERROR(VLOOKUP($V56,#REF!,4,FALSE)," ")</f>
        <v xml:space="preserve"> </v>
      </c>
      <c r="AK64" s="762" t="s">
        <v>425</v>
      </c>
      <c r="AL64" s="758"/>
      <c r="AM64" s="759">
        <v>6002</v>
      </c>
      <c r="AN64" s="760">
        <v>0.16502931546830643</v>
      </c>
    </row>
    <row r="65" spans="1:40" ht="15" customHeight="1">
      <c r="A65" s="750" t="s">
        <v>173</v>
      </c>
      <c r="C65" s="751">
        <v>6013</v>
      </c>
      <c r="D65" s="752">
        <v>8.1199999999999992</v>
      </c>
      <c r="E65" s="753">
        <v>8.1199999999999992</v>
      </c>
      <c r="F65" s="753">
        <v>8.1199999999999992</v>
      </c>
      <c r="G65" s="753">
        <v>8.1199999999999992</v>
      </c>
      <c r="H65" s="753">
        <v>8.1199999999999992</v>
      </c>
      <c r="I65" s="753">
        <v>8.1199999999999992</v>
      </c>
      <c r="J65" s="753">
        <v>8.1199999999999992</v>
      </c>
      <c r="K65" s="753">
        <v>8.1199999999999992</v>
      </c>
      <c r="L65" s="753">
        <v>8.1199999999999992</v>
      </c>
      <c r="M65" s="753">
        <v>8.1199999999999992</v>
      </c>
      <c r="N65" s="753">
        <v>8.1199999999999992</v>
      </c>
      <c r="O65" s="753">
        <v>8.1199999999999992</v>
      </c>
      <c r="P65" s="753">
        <v>8.1199999999999992</v>
      </c>
      <c r="Q65" s="754">
        <v>0</v>
      </c>
      <c r="R65" s="755" t="str">
        <f>IFERROR(VLOOKUP($C65,[25]Nod!$A$3:$E$992,4,FALSE)," ")</f>
        <v>MDN34</v>
      </c>
      <c r="S65" s="755">
        <f>IFERROR(VLOOKUP($C65,[25]Nod!$A$3:$E$992,5,FALSE)," ")</f>
        <v>4</v>
      </c>
      <c r="T65" s="761" t="s">
        <v>427</v>
      </c>
      <c r="V65" s="751">
        <v>6002</v>
      </c>
      <c r="W65" s="753">
        <f>+'[26]Resumen Modelo'!G55</f>
        <v>2.79</v>
      </c>
      <c r="X65" s="753">
        <f>+'[26]Resumen Modelo'!H55</f>
        <v>2.75</v>
      </c>
      <c r="Y65" s="753">
        <f>+'[26]Resumen Modelo'!I55</f>
        <v>2.71</v>
      </c>
      <c r="Z65" s="753">
        <f>+'[26]Resumen Modelo'!J55</f>
        <v>2.71</v>
      </c>
      <c r="AA65" s="753">
        <f>+'[26]Resumen Modelo'!K55</f>
        <v>2.71</v>
      </c>
      <c r="AB65" s="753">
        <f>+'[26]Resumen Modelo'!L55</f>
        <v>2.72</v>
      </c>
      <c r="AC65" s="753">
        <f>+'[26]Resumen Modelo'!M55</f>
        <v>0</v>
      </c>
      <c r="AD65" s="753">
        <f>+'[26]Resumen Modelo'!N55</f>
        <v>0</v>
      </c>
      <c r="AE65" s="753">
        <f>+'[26]Resumen Modelo'!O55</f>
        <v>0</v>
      </c>
      <c r="AF65" s="753">
        <f>+'[26]Resumen Modelo'!P55</f>
        <v>0</v>
      </c>
      <c r="AG65" s="753">
        <f>+'[26]Resumen Modelo'!Q55</f>
        <v>0</v>
      </c>
      <c r="AH65" s="753">
        <f>+'[26]Resumen Modelo'!R55</f>
        <v>0</v>
      </c>
      <c r="AI65" s="788">
        <f>SUM(W65:AH65)</f>
        <v>16.39</v>
      </c>
      <c r="AJ65" s="717" t="str">
        <f>IFERROR(VLOOKUP($V57,#REF!,4,FALSE)," ")</f>
        <v xml:space="preserve"> </v>
      </c>
      <c r="AK65" s="762" t="s">
        <v>426</v>
      </c>
      <c r="AL65" s="758"/>
      <c r="AM65" s="759">
        <v>6002</v>
      </c>
      <c r="AN65" s="760">
        <v>1.3409961685823757</v>
      </c>
    </row>
    <row r="66" spans="1:40" ht="15" customHeight="1">
      <c r="A66" s="800" t="s">
        <v>85</v>
      </c>
      <c r="C66" s="751">
        <v>6182</v>
      </c>
      <c r="D66" s="752">
        <v>51.65</v>
      </c>
      <c r="E66" s="753">
        <v>51.65</v>
      </c>
      <c r="F66" s="753">
        <v>51.65</v>
      </c>
      <c r="G66" s="753">
        <v>51.65</v>
      </c>
      <c r="H66" s="753">
        <v>51.65</v>
      </c>
      <c r="I66" s="753">
        <v>51.65</v>
      </c>
      <c r="J66" s="753">
        <v>51.65</v>
      </c>
      <c r="K66" s="753">
        <v>51.65</v>
      </c>
      <c r="L66" s="753">
        <v>51.65</v>
      </c>
      <c r="M66" s="753">
        <v>51.65</v>
      </c>
      <c r="N66" s="753">
        <v>51.65</v>
      </c>
      <c r="O66" s="753">
        <v>51.65</v>
      </c>
      <c r="P66" s="753">
        <v>51.65</v>
      </c>
      <c r="Q66" s="754">
        <v>0</v>
      </c>
      <c r="R66" s="755" t="str">
        <f>IFERROR(VLOOKUP($C66,[25]Nod!$A$3:$E$992,4,FALSE)," ")</f>
        <v>VEL230</v>
      </c>
      <c r="S66" s="755">
        <f>IFERROR(VLOOKUP($C66,[25]Nod!$A$3:$E$992,5,FALSE)," ")</f>
        <v>4</v>
      </c>
      <c r="T66" s="761" t="s">
        <v>428</v>
      </c>
      <c r="V66" s="751">
        <v>6004</v>
      </c>
      <c r="W66" s="753">
        <f>+'[26]Resumen Modelo'!G56</f>
        <v>0.33</v>
      </c>
      <c r="X66" s="753">
        <f>+'[26]Resumen Modelo'!H56</f>
        <v>0.34</v>
      </c>
      <c r="Y66" s="753">
        <f>+'[26]Resumen Modelo'!I56</f>
        <v>0.35</v>
      </c>
      <c r="Z66" s="753">
        <f>+'[26]Resumen Modelo'!J56</f>
        <v>0.36</v>
      </c>
      <c r="AA66" s="753">
        <f>+'[26]Resumen Modelo'!K56</f>
        <v>0.34</v>
      </c>
      <c r="AB66" s="753">
        <f>+'[26]Resumen Modelo'!L56</f>
        <v>0.34</v>
      </c>
      <c r="AC66" s="753">
        <f>+'[26]Resumen Modelo'!M56</f>
        <v>0.35</v>
      </c>
      <c r="AD66" s="753">
        <f>+'[26]Resumen Modelo'!N56</f>
        <v>0.32</v>
      </c>
      <c r="AE66" s="753">
        <f>+'[26]Resumen Modelo'!O56</f>
        <v>0.36</v>
      </c>
      <c r="AF66" s="753">
        <f>+'[26]Resumen Modelo'!P56</f>
        <v>0.33</v>
      </c>
      <c r="AG66" s="753">
        <f>+'[26]Resumen Modelo'!Q56</f>
        <v>0.34</v>
      </c>
      <c r="AH66" s="753">
        <f>+'[26]Resumen Modelo'!R56</f>
        <v>0.37</v>
      </c>
      <c r="AI66" s="788">
        <f>SUM(W66:AH66)</f>
        <v>4.13</v>
      </c>
      <c r="AJ66" s="717" t="str">
        <f>IFERROR(VLOOKUP($V58,#REF!,4,FALSE)," ")</f>
        <v xml:space="preserve"> </v>
      </c>
      <c r="AK66" s="762" t="s">
        <v>427</v>
      </c>
      <c r="AL66" s="758"/>
      <c r="AM66" s="759">
        <v>6002</v>
      </c>
      <c r="AN66" s="760">
        <v>3.5418235458082181</v>
      </c>
    </row>
    <row r="67" spans="1:40" ht="15" customHeight="1">
      <c r="A67" s="800" t="s">
        <v>429</v>
      </c>
      <c r="C67" s="751">
        <v>6182</v>
      </c>
      <c r="D67" s="752">
        <v>32.6</v>
      </c>
      <c r="E67" s="753">
        <v>32.6</v>
      </c>
      <c r="F67" s="753">
        <v>32.6</v>
      </c>
      <c r="G67" s="753">
        <v>32.6</v>
      </c>
      <c r="H67" s="753">
        <v>32.6</v>
      </c>
      <c r="I67" s="753">
        <v>32.6</v>
      </c>
      <c r="J67" s="753">
        <v>32.6</v>
      </c>
      <c r="K67" s="753">
        <v>32.6</v>
      </c>
      <c r="L67" s="753">
        <v>32.6</v>
      </c>
      <c r="M67" s="753">
        <v>32.6</v>
      </c>
      <c r="N67" s="753">
        <v>32.6</v>
      </c>
      <c r="O67" s="753">
        <v>32.6</v>
      </c>
      <c r="P67" s="753">
        <v>32.6</v>
      </c>
      <c r="Q67" s="754"/>
      <c r="R67" s="755" t="str">
        <f>IFERROR(VLOOKUP($C67,[25]Nod!$A$3:$E$992,4,FALSE)," ")</f>
        <v>VEL230</v>
      </c>
      <c r="S67" s="755">
        <f>IFERROR(VLOOKUP($C67,[25]Nod!$A$3:$E$992,5,FALSE)," ")</f>
        <v>4</v>
      </c>
      <c r="T67" s="763" t="s">
        <v>151</v>
      </c>
      <c r="U67" s="764"/>
      <c r="V67" s="765"/>
      <c r="W67" s="753">
        <f>+'[26]Resumen Modelo'!G57</f>
        <v>0</v>
      </c>
      <c r="X67" s="753">
        <f>+'[26]Resumen Modelo'!H57</f>
        <v>0</v>
      </c>
      <c r="Y67" s="753">
        <f>+'[26]Resumen Modelo'!I57</f>
        <v>0</v>
      </c>
      <c r="Z67" s="753">
        <f>+'[26]Resumen Modelo'!J57</f>
        <v>0</v>
      </c>
      <c r="AA67" s="753">
        <f>+'[26]Resumen Modelo'!K57</f>
        <v>0</v>
      </c>
      <c r="AB67" s="753">
        <f>+'[26]Resumen Modelo'!L57</f>
        <v>0</v>
      </c>
      <c r="AC67" s="753">
        <f>+'[26]Resumen Modelo'!M57</f>
        <v>0</v>
      </c>
      <c r="AD67" s="753">
        <f>+'[26]Resumen Modelo'!N57</f>
        <v>0</v>
      </c>
      <c r="AE67" s="753">
        <f>+'[26]Resumen Modelo'!O57</f>
        <v>0</v>
      </c>
      <c r="AF67" s="753">
        <f>+'[26]Resumen Modelo'!P57</f>
        <v>0</v>
      </c>
      <c r="AG67" s="753">
        <f>+'[26]Resumen Modelo'!Q57</f>
        <v>0</v>
      </c>
      <c r="AH67" s="753">
        <f>+'[26]Resumen Modelo'!R57</f>
        <v>0</v>
      </c>
      <c r="AI67" s="795">
        <f t="shared" si="10"/>
        <v>0</v>
      </c>
      <c r="AJ67" s="717" t="str">
        <f>IFERROR(VLOOKUP($V59,#REF!,4,FALSE)," ")</f>
        <v xml:space="preserve"> </v>
      </c>
      <c r="AK67" s="762" t="s">
        <v>428</v>
      </c>
      <c r="AL67" s="758"/>
      <c r="AM67" s="759">
        <v>6004</v>
      </c>
      <c r="AN67" s="760">
        <v>0.29501004884593701</v>
      </c>
    </row>
    <row r="68" spans="1:40" ht="15" customHeight="1">
      <c r="A68" s="750" t="s">
        <v>430</v>
      </c>
      <c r="C68" s="751">
        <v>6380</v>
      </c>
      <c r="D68" s="752">
        <v>3.29</v>
      </c>
      <c r="E68" s="753">
        <v>3.29</v>
      </c>
      <c r="F68" s="753">
        <v>3.29</v>
      </c>
      <c r="G68" s="753">
        <v>3.29</v>
      </c>
      <c r="H68" s="753">
        <v>3.29</v>
      </c>
      <c r="I68" s="753">
        <v>3.29</v>
      </c>
      <c r="J68" s="753">
        <v>3.29</v>
      </c>
      <c r="K68" s="753">
        <v>3.29</v>
      </c>
      <c r="L68" s="753">
        <v>3.29</v>
      </c>
      <c r="M68" s="753">
        <v>3.29</v>
      </c>
      <c r="N68" s="753">
        <v>3.29</v>
      </c>
      <c r="O68" s="753">
        <v>3.29</v>
      </c>
      <c r="P68" s="753">
        <v>3.29</v>
      </c>
      <c r="Q68" s="754">
        <v>0</v>
      </c>
      <c r="R68" s="755" t="str">
        <f>IFERROR(VLOOKUP($C68,[25]Nod!$A$3:$E$992,4,FALSE)," ")</f>
        <v>BOQIII230</v>
      </c>
      <c r="S68" s="755">
        <f>IFERROR(VLOOKUP($C68,[25]Nod!$A$3:$E$992,5,FALSE)," ")</f>
        <v>4</v>
      </c>
      <c r="T68" s="771">
        <v>8</v>
      </c>
      <c r="U68" s="772"/>
      <c r="V68" s="774"/>
      <c r="W68" s="774">
        <f>+'[26]Resumen Modelo'!G58</f>
        <v>2.3199999999999998</v>
      </c>
      <c r="X68" s="774">
        <f>+'[26]Resumen Modelo'!H58</f>
        <v>1.36</v>
      </c>
      <c r="Y68" s="774">
        <f>+'[26]Resumen Modelo'!I58</f>
        <v>1.35</v>
      </c>
      <c r="Z68" s="774">
        <f>+'[26]Resumen Modelo'!J58</f>
        <v>1.74</v>
      </c>
      <c r="AA68" s="774">
        <f>+'[26]Resumen Modelo'!K58</f>
        <v>1.35</v>
      </c>
      <c r="AB68" s="774">
        <f>+'[26]Resumen Modelo'!L58</f>
        <v>1.35</v>
      </c>
      <c r="AC68" s="774">
        <f>+'[26]Resumen Modelo'!M58</f>
        <v>1.72</v>
      </c>
      <c r="AD68" s="774">
        <f>+'[26]Resumen Modelo'!N58</f>
        <v>2.0699999999999998</v>
      </c>
      <c r="AE68" s="774">
        <f>+'[26]Resumen Modelo'!O58</f>
        <v>1.32</v>
      </c>
      <c r="AF68" s="774">
        <f>+'[26]Resumen Modelo'!P58</f>
        <v>1.34</v>
      </c>
      <c r="AG68" s="774">
        <f>+'[26]Resumen Modelo'!Q58</f>
        <v>2.4</v>
      </c>
      <c r="AH68" s="774">
        <f>+'[26]Resumen Modelo'!R58</f>
        <v>1.37</v>
      </c>
      <c r="AI68" s="774">
        <f>SUM(AI69:AI71)</f>
        <v>2.4</v>
      </c>
      <c r="AJ68" s="717" t="str">
        <f>IFERROR(VLOOKUP($V60,#REF!,4,FALSE)," ")</f>
        <v xml:space="preserve"> </v>
      </c>
      <c r="AK68" s="767" t="s">
        <v>151</v>
      </c>
      <c r="AL68" s="768"/>
      <c r="AM68" s="769"/>
      <c r="AN68" s="770"/>
    </row>
    <row r="69" spans="1:40" ht="15" customHeight="1">
      <c r="A69" s="750" t="s">
        <v>431</v>
      </c>
      <c r="C69" s="751">
        <v>6380</v>
      </c>
      <c r="D69" s="752">
        <v>4</v>
      </c>
      <c r="E69" s="753">
        <v>4</v>
      </c>
      <c r="F69" s="753">
        <v>4</v>
      </c>
      <c r="G69" s="753">
        <v>4</v>
      </c>
      <c r="H69" s="753">
        <v>4</v>
      </c>
      <c r="I69" s="753">
        <v>4</v>
      </c>
      <c r="J69" s="753">
        <v>4</v>
      </c>
      <c r="K69" s="753">
        <v>4</v>
      </c>
      <c r="L69" s="753">
        <v>4</v>
      </c>
      <c r="M69" s="753">
        <v>4</v>
      </c>
      <c r="N69" s="753">
        <v>4</v>
      </c>
      <c r="O69" s="753">
        <v>4</v>
      </c>
      <c r="P69" s="753">
        <v>4</v>
      </c>
      <c r="Q69" s="754">
        <v>0</v>
      </c>
      <c r="R69" s="755" t="str">
        <f>IFERROR(VLOOKUP($C69,[25]Nod!$A$3:$E$992,4,FALSE)," ")</f>
        <v>BOQIII230</v>
      </c>
      <c r="S69" s="755">
        <f>IFERROR(VLOOKUP($C69,[25]Nod!$A$3:$E$992,5,FALSE)," ")</f>
        <v>4</v>
      </c>
      <c r="T69" s="756" t="s">
        <v>169</v>
      </c>
      <c r="V69" s="751"/>
      <c r="W69" s="753">
        <f>+'[26]Resumen Modelo'!G59</f>
        <v>0</v>
      </c>
      <c r="X69" s="753">
        <f>+'[26]Resumen Modelo'!H59</f>
        <v>0</v>
      </c>
      <c r="Y69" s="753">
        <f>+'[26]Resumen Modelo'!I59</f>
        <v>0</v>
      </c>
      <c r="Z69" s="753">
        <f>+'[26]Resumen Modelo'!J59</f>
        <v>0</v>
      </c>
      <c r="AA69" s="753">
        <f>+'[26]Resumen Modelo'!K59</f>
        <v>0</v>
      </c>
      <c r="AB69" s="753">
        <f>+'[26]Resumen Modelo'!L59</f>
        <v>0</v>
      </c>
      <c r="AC69" s="753">
        <f>+'[26]Resumen Modelo'!M59</f>
        <v>0</v>
      </c>
      <c r="AD69" s="753">
        <f>+'[26]Resumen Modelo'!N59</f>
        <v>0</v>
      </c>
      <c r="AE69" s="753">
        <f>+'[26]Resumen Modelo'!O59</f>
        <v>0</v>
      </c>
      <c r="AF69" s="753">
        <f>+'[26]Resumen Modelo'!P59</f>
        <v>0</v>
      </c>
      <c r="AG69" s="753">
        <f>+'[26]Resumen Modelo'!Q59</f>
        <v>0</v>
      </c>
      <c r="AH69" s="753">
        <f>+'[26]Resumen Modelo'!R59</f>
        <v>0</v>
      </c>
      <c r="AI69" s="788"/>
      <c r="AJ69" s="717" t="str">
        <f>IFERROR(VLOOKUP($V61,#REF!,4,FALSE)," ")</f>
        <v xml:space="preserve"> </v>
      </c>
      <c r="AK69" s="775">
        <v>8</v>
      </c>
      <c r="AL69" s="776"/>
      <c r="AM69" s="777"/>
      <c r="AN69" s="778">
        <v>45.866909944079076</v>
      </c>
    </row>
    <row r="70" spans="1:40" ht="15" customHeight="1">
      <c r="A70" s="750" t="s">
        <v>86</v>
      </c>
      <c r="C70" s="751">
        <v>6182</v>
      </c>
      <c r="D70" s="752">
        <v>69.48</v>
      </c>
      <c r="E70" s="753">
        <v>69.48</v>
      </c>
      <c r="F70" s="753">
        <v>69.48</v>
      </c>
      <c r="G70" s="753">
        <v>69.48</v>
      </c>
      <c r="H70" s="753">
        <v>69.48</v>
      </c>
      <c r="I70" s="753">
        <v>69.48</v>
      </c>
      <c r="J70" s="753">
        <v>69.48</v>
      </c>
      <c r="K70" s="753">
        <v>69.48</v>
      </c>
      <c r="L70" s="753">
        <v>69.48</v>
      </c>
      <c r="M70" s="753">
        <v>69.48</v>
      </c>
      <c r="N70" s="753">
        <v>69.48</v>
      </c>
      <c r="O70" s="753">
        <v>69.48</v>
      </c>
      <c r="P70" s="753">
        <v>69.48</v>
      </c>
      <c r="Q70" s="754">
        <v>0</v>
      </c>
      <c r="R70" s="755" t="str">
        <f>IFERROR(VLOOKUP($C70,[25]Nod!$A$3:$E$992,4,FALSE)," ")</f>
        <v>VEL230</v>
      </c>
      <c r="S70" s="755">
        <f>IFERROR(VLOOKUP($C70,[25]Nod!$A$3:$E$992,5,FALSE)," ")</f>
        <v>4</v>
      </c>
      <c r="T70" s="802" t="s">
        <v>432</v>
      </c>
      <c r="V70" s="751">
        <v>6100</v>
      </c>
      <c r="W70" s="753">
        <f>+'[26]Resumen Modelo'!G60</f>
        <v>2.3199999999999998</v>
      </c>
      <c r="X70" s="753">
        <f>+'[26]Resumen Modelo'!H60</f>
        <v>1.36</v>
      </c>
      <c r="Y70" s="753">
        <f>+'[26]Resumen Modelo'!I60</f>
        <v>1.35</v>
      </c>
      <c r="Z70" s="753">
        <f>+'[26]Resumen Modelo'!J60</f>
        <v>1.74</v>
      </c>
      <c r="AA70" s="753">
        <f>+'[26]Resumen Modelo'!K60</f>
        <v>1.35</v>
      </c>
      <c r="AB70" s="753">
        <f>+'[26]Resumen Modelo'!L60</f>
        <v>1.35</v>
      </c>
      <c r="AC70" s="753">
        <f>+'[26]Resumen Modelo'!M60</f>
        <v>1.72</v>
      </c>
      <c r="AD70" s="753">
        <f>+'[26]Resumen Modelo'!N60</f>
        <v>2.0699999999999998</v>
      </c>
      <c r="AE70" s="753">
        <f>+'[26]Resumen Modelo'!O60</f>
        <v>1.32</v>
      </c>
      <c r="AF70" s="753">
        <f>+'[26]Resumen Modelo'!P60</f>
        <v>1.34</v>
      </c>
      <c r="AG70" s="753">
        <f>+'[26]Resumen Modelo'!Q60</f>
        <v>2.4</v>
      </c>
      <c r="AH70" s="753">
        <f>+'[26]Resumen Modelo'!R60</f>
        <v>1.37</v>
      </c>
      <c r="AI70" s="788">
        <f>+MAX(W70:AH70)</f>
        <v>2.4</v>
      </c>
      <c r="AJ70" s="717"/>
      <c r="AK70" s="757" t="s">
        <v>169</v>
      </c>
      <c r="AL70" s="758"/>
      <c r="AM70" s="759"/>
      <c r="AN70" s="760"/>
    </row>
    <row r="71" spans="1:40" ht="15" customHeight="1">
      <c r="A71" s="750" t="s">
        <v>433</v>
      </c>
      <c r="B71" s="694"/>
      <c r="C71" s="803">
        <v>6380</v>
      </c>
      <c r="D71" s="804">
        <v>6.3</v>
      </c>
      <c r="E71" s="753">
        <v>6.3</v>
      </c>
      <c r="F71" s="753">
        <v>6.3</v>
      </c>
      <c r="G71" s="753">
        <v>6.3</v>
      </c>
      <c r="H71" s="753">
        <v>6.3</v>
      </c>
      <c r="I71" s="753">
        <v>6.3</v>
      </c>
      <c r="J71" s="753">
        <v>6.3</v>
      </c>
      <c r="K71" s="753">
        <v>6.3</v>
      </c>
      <c r="L71" s="753">
        <v>6.3</v>
      </c>
      <c r="M71" s="753">
        <v>6.3</v>
      </c>
      <c r="N71" s="753">
        <v>6.3</v>
      </c>
      <c r="O71" s="753">
        <v>6.3</v>
      </c>
      <c r="P71" s="753">
        <v>6.3</v>
      </c>
      <c r="Q71" s="805">
        <v>0</v>
      </c>
      <c r="R71" s="755" t="str">
        <f>IFERROR(VLOOKUP($C71,[25]Nod!$A$3:$E$992,4,FALSE)," ")</f>
        <v>BOQIII230</v>
      </c>
      <c r="S71" s="755">
        <f>IFERROR(VLOOKUP($C71,[25]Nod!$A$3:$E$992,5,FALSE)," ")</f>
        <v>4</v>
      </c>
      <c r="T71" s="763" t="s">
        <v>151</v>
      </c>
      <c r="U71" s="764"/>
      <c r="V71" s="765"/>
      <c r="W71" s="753">
        <f>+'[26]Resumen Modelo'!G61</f>
        <v>0</v>
      </c>
      <c r="X71" s="753">
        <f>+'[26]Resumen Modelo'!H61</f>
        <v>0</v>
      </c>
      <c r="Y71" s="753">
        <f>+'[26]Resumen Modelo'!I61</f>
        <v>0</v>
      </c>
      <c r="Z71" s="753">
        <f>+'[26]Resumen Modelo'!J61</f>
        <v>0</v>
      </c>
      <c r="AA71" s="753">
        <f>+'[26]Resumen Modelo'!K61</f>
        <v>0</v>
      </c>
      <c r="AB71" s="753">
        <f>+'[26]Resumen Modelo'!L61</f>
        <v>0</v>
      </c>
      <c r="AC71" s="753">
        <f>+'[26]Resumen Modelo'!M61</f>
        <v>0</v>
      </c>
      <c r="AD71" s="753">
        <f>+'[26]Resumen Modelo'!N61</f>
        <v>0</v>
      </c>
      <c r="AE71" s="753">
        <f>+'[26]Resumen Modelo'!O61</f>
        <v>0</v>
      </c>
      <c r="AF71" s="753">
        <f>+'[26]Resumen Modelo'!P61</f>
        <v>0</v>
      </c>
      <c r="AG71" s="753">
        <f>+'[26]Resumen Modelo'!Q61</f>
        <v>0</v>
      </c>
      <c r="AH71" s="753">
        <f>+'[26]Resumen Modelo'!R61</f>
        <v>0</v>
      </c>
      <c r="AI71" s="795"/>
      <c r="AJ71" s="717"/>
      <c r="AK71" s="806" t="s">
        <v>424</v>
      </c>
      <c r="AL71" s="758"/>
      <c r="AM71" s="759">
        <v>6470</v>
      </c>
      <c r="AN71" s="760">
        <v>45.866909944079076</v>
      </c>
    </row>
    <row r="72" spans="1:40" ht="15" customHeight="1">
      <c r="A72" s="750" t="s">
        <v>434</v>
      </c>
      <c r="B72" s="694"/>
      <c r="C72" s="803">
        <v>6013</v>
      </c>
      <c r="D72" s="804">
        <v>8.89</v>
      </c>
      <c r="E72" s="753">
        <v>8.89</v>
      </c>
      <c r="F72" s="753">
        <v>8.89</v>
      </c>
      <c r="G72" s="753">
        <v>8.89</v>
      </c>
      <c r="H72" s="753">
        <v>8.89</v>
      </c>
      <c r="I72" s="753">
        <v>8.89</v>
      </c>
      <c r="J72" s="753">
        <v>8.89</v>
      </c>
      <c r="K72" s="753">
        <v>8.89</v>
      </c>
      <c r="L72" s="753">
        <v>8.89</v>
      </c>
      <c r="M72" s="753">
        <v>8.89</v>
      </c>
      <c r="N72" s="753">
        <v>8.89</v>
      </c>
      <c r="O72" s="753">
        <v>8.89</v>
      </c>
      <c r="P72" s="753">
        <v>8.89</v>
      </c>
      <c r="Q72" s="805">
        <v>0</v>
      </c>
      <c r="R72" s="755" t="str">
        <f>IFERROR(VLOOKUP($C72,[25]Nod!$A$3:$E$992,4,FALSE)," ")</f>
        <v>MDN34</v>
      </c>
      <c r="S72" s="755">
        <f>IFERROR(VLOOKUP($C72,[25]Nod!$A$3:$E$992,5,FALSE)," ")</f>
        <v>4</v>
      </c>
      <c r="T72" s="787">
        <v>9</v>
      </c>
      <c r="U72" s="741"/>
      <c r="V72" s="742"/>
      <c r="W72" s="780">
        <f>+'[26]Resumen Modelo'!G62</f>
        <v>112.58</v>
      </c>
      <c r="X72" s="780">
        <f>+'[26]Resumen Modelo'!H62</f>
        <v>109.72</v>
      </c>
      <c r="Y72" s="780">
        <f>+'[26]Resumen Modelo'!I62</f>
        <v>109.72</v>
      </c>
      <c r="Z72" s="780">
        <f>+'[26]Resumen Modelo'!J62</f>
        <v>110.95</v>
      </c>
      <c r="AA72" s="780">
        <f>+'[26]Resumen Modelo'!K62</f>
        <v>108.10250000000001</v>
      </c>
      <c r="AB72" s="780">
        <f>+'[26]Resumen Modelo'!L62</f>
        <v>110.65</v>
      </c>
      <c r="AC72" s="780">
        <f>+'[26]Resumen Modelo'!M62</f>
        <v>108.22999999999999</v>
      </c>
      <c r="AD72" s="780">
        <f>+'[26]Resumen Modelo'!N62</f>
        <v>127.31</v>
      </c>
      <c r="AE72" s="780">
        <f>+'[26]Resumen Modelo'!O62</f>
        <v>112.34</v>
      </c>
      <c r="AF72" s="780">
        <f>+'[26]Resumen Modelo'!P62</f>
        <v>116.14</v>
      </c>
      <c r="AG72" s="780">
        <f>+'[26]Resumen Modelo'!Q62</f>
        <v>117.43</v>
      </c>
      <c r="AH72" s="780">
        <f>+'[26]Resumen Modelo'!R62</f>
        <v>111.28</v>
      </c>
      <c r="AI72" s="780">
        <f>SUM(AI73:AI79)</f>
        <v>129.75</v>
      </c>
      <c r="AJ72" s="717" t="str">
        <f>IFERROR(VLOOKUP(#REF!,#REF!,4,FALSE)," ")</f>
        <v xml:space="preserve"> </v>
      </c>
      <c r="AK72" s="806" t="s">
        <v>432</v>
      </c>
      <c r="AL72" s="758"/>
      <c r="AM72" s="759">
        <v>6100</v>
      </c>
      <c r="AN72" s="760"/>
    </row>
    <row r="73" spans="1:40" ht="15" customHeight="1">
      <c r="A73" s="750" t="s">
        <v>435</v>
      </c>
      <c r="C73" s="801">
        <v>6013</v>
      </c>
      <c r="D73" s="752">
        <v>9</v>
      </c>
      <c r="E73" s="753">
        <v>0</v>
      </c>
      <c r="F73" s="753">
        <v>0</v>
      </c>
      <c r="G73" s="753">
        <v>0</v>
      </c>
      <c r="H73" s="753">
        <v>0</v>
      </c>
      <c r="I73" s="753">
        <v>0</v>
      </c>
      <c r="J73" s="753">
        <v>0</v>
      </c>
      <c r="K73" s="753">
        <v>0</v>
      </c>
      <c r="L73" s="753">
        <v>0</v>
      </c>
      <c r="M73" s="753">
        <v>0</v>
      </c>
      <c r="N73" s="753">
        <v>0</v>
      </c>
      <c r="O73" s="753">
        <v>0</v>
      </c>
      <c r="P73" s="753">
        <v>0</v>
      </c>
      <c r="Q73" s="754">
        <v>13</v>
      </c>
      <c r="R73" s="755" t="str">
        <f>IFERROR(VLOOKUP($C73,[25]Nod!$A$3:$E$992,4,FALSE)," ")</f>
        <v>MDN34</v>
      </c>
      <c r="S73" s="755">
        <f>IFERROR(VLOOKUP($C73,[25]Nod!$A$3:$E$992,5,FALSE)," ")</f>
        <v>4</v>
      </c>
      <c r="T73" s="756" t="s">
        <v>169</v>
      </c>
      <c r="V73" s="751"/>
      <c r="W73" s="753">
        <f>+'[26]Resumen Modelo'!G63</f>
        <v>0</v>
      </c>
      <c r="X73" s="753">
        <f>+'[26]Resumen Modelo'!H63</f>
        <v>0</v>
      </c>
      <c r="Y73" s="753">
        <f>+'[26]Resumen Modelo'!I63</f>
        <v>0</v>
      </c>
      <c r="Z73" s="753">
        <f>+'[26]Resumen Modelo'!J63</f>
        <v>0</v>
      </c>
      <c r="AA73" s="753">
        <f>+'[26]Resumen Modelo'!K63</f>
        <v>0</v>
      </c>
      <c r="AB73" s="753">
        <f>+'[26]Resumen Modelo'!L63</f>
        <v>0</v>
      </c>
      <c r="AC73" s="753">
        <f>+'[26]Resumen Modelo'!M63</f>
        <v>0</v>
      </c>
      <c r="AD73" s="753">
        <f>+'[26]Resumen Modelo'!N63</f>
        <v>0</v>
      </c>
      <c r="AE73" s="753">
        <f>+'[26]Resumen Modelo'!O63</f>
        <v>0</v>
      </c>
      <c r="AF73" s="753">
        <f>+'[26]Resumen Modelo'!P63</f>
        <v>0</v>
      </c>
      <c r="AG73" s="753">
        <f>+'[26]Resumen Modelo'!Q63</f>
        <v>0</v>
      </c>
      <c r="AH73" s="753">
        <f>+'[26]Resumen Modelo'!R63</f>
        <v>0</v>
      </c>
      <c r="AI73" s="788"/>
      <c r="AJ73" s="717" t="str">
        <f>IFERROR(VLOOKUP($V63,#REF!,4,FALSE)," ")</f>
        <v xml:space="preserve"> </v>
      </c>
      <c r="AK73" s="767" t="s">
        <v>151</v>
      </c>
      <c r="AL73" s="768"/>
      <c r="AM73" s="769"/>
      <c r="AN73" s="770"/>
    </row>
    <row r="74" spans="1:40" ht="15" customHeight="1">
      <c r="A74" s="750" t="s">
        <v>436</v>
      </c>
      <c r="C74" s="801">
        <v>6520</v>
      </c>
      <c r="D74" s="804">
        <v>19.87</v>
      </c>
      <c r="E74" s="753">
        <v>19.87</v>
      </c>
      <c r="F74" s="753">
        <v>19.87</v>
      </c>
      <c r="G74" s="753">
        <v>19.87</v>
      </c>
      <c r="H74" s="753">
        <v>19.87</v>
      </c>
      <c r="I74" s="753">
        <v>19.87</v>
      </c>
      <c r="J74" s="753">
        <v>19.87</v>
      </c>
      <c r="K74" s="753">
        <v>19.87</v>
      </c>
      <c r="L74" s="753">
        <v>19.87</v>
      </c>
      <c r="M74" s="753">
        <v>19.87</v>
      </c>
      <c r="N74" s="753">
        <v>19.87</v>
      </c>
      <c r="O74" s="753">
        <v>19.87</v>
      </c>
      <c r="P74" s="753">
        <v>19.87</v>
      </c>
      <c r="Q74" s="754">
        <v>0</v>
      </c>
      <c r="R74" s="755" t="str">
        <f>IFERROR(VLOOKUP($C74,[25]Nod!$A$3:$E$992,4,FALSE)," ")</f>
        <v>SBA34</v>
      </c>
      <c r="S74" s="755">
        <f>IFERROR(VLOOKUP($C74,[25]Nod!$A$3:$E$992,5,FALSE)," ")</f>
        <v>4</v>
      </c>
      <c r="T74" s="761" t="s">
        <v>30</v>
      </c>
      <c r="V74" s="751">
        <v>6059</v>
      </c>
      <c r="W74" s="753">
        <f>+'[26]Resumen Modelo'!G64</f>
        <v>105.24</v>
      </c>
      <c r="X74" s="753">
        <f>+'[26]Resumen Modelo'!H64</f>
        <v>102.5</v>
      </c>
      <c r="Y74" s="753">
        <f>+'[26]Resumen Modelo'!I64</f>
        <v>102.27</v>
      </c>
      <c r="Z74" s="753">
        <f>+'[26]Resumen Modelo'!J64</f>
        <v>104.48</v>
      </c>
      <c r="AA74" s="753">
        <f>+'[26]Resumen Modelo'!K64</f>
        <v>103.6225</v>
      </c>
      <c r="AB74" s="753">
        <f>+'[26]Resumen Modelo'!L64</f>
        <v>103.58</v>
      </c>
      <c r="AC74" s="753">
        <f>+'[26]Resumen Modelo'!M64</f>
        <v>101.58</v>
      </c>
      <c r="AD74" s="753">
        <f>+'[26]Resumen Modelo'!N64</f>
        <v>122.29</v>
      </c>
      <c r="AE74" s="753">
        <f>+'[26]Resumen Modelo'!O64</f>
        <v>104.98</v>
      </c>
      <c r="AF74" s="753">
        <f>+'[26]Resumen Modelo'!P64</f>
        <v>108.85</v>
      </c>
      <c r="AG74" s="753">
        <f>+'[26]Resumen Modelo'!Q64</f>
        <v>110.17</v>
      </c>
      <c r="AH74" s="753">
        <f>+'[26]Resumen Modelo'!R64</f>
        <v>103.91</v>
      </c>
      <c r="AI74" s="788">
        <f>+MAX(W74:AH74)</f>
        <v>122.29</v>
      </c>
      <c r="AJ74" s="717" t="str">
        <f>IFERROR(VLOOKUP($V64,#REF!,4,FALSE)," ")</f>
        <v xml:space="preserve"> </v>
      </c>
      <c r="AK74" s="746">
        <v>9</v>
      </c>
      <c r="AL74" s="747"/>
      <c r="AM74" s="748"/>
      <c r="AN74" s="749">
        <v>147.65123995925069</v>
      </c>
    </row>
    <row r="75" spans="1:40" ht="15" customHeight="1">
      <c r="A75" s="750" t="s">
        <v>87</v>
      </c>
      <c r="C75" s="801">
        <v>6550</v>
      </c>
      <c r="D75" s="807">
        <v>28.56</v>
      </c>
      <c r="E75" s="753">
        <v>28.56</v>
      </c>
      <c r="F75" s="753">
        <v>28.56</v>
      </c>
      <c r="G75" s="753">
        <v>28.56</v>
      </c>
      <c r="H75" s="753">
        <v>28.56</v>
      </c>
      <c r="I75" s="753">
        <v>28.56</v>
      </c>
      <c r="J75" s="753">
        <v>28.56</v>
      </c>
      <c r="K75" s="753">
        <v>28.56</v>
      </c>
      <c r="L75" s="753">
        <v>28.56</v>
      </c>
      <c r="M75" s="753">
        <v>28.56</v>
      </c>
      <c r="N75" s="753">
        <v>28.56</v>
      </c>
      <c r="O75" s="753">
        <v>28.56</v>
      </c>
      <c r="P75" s="753">
        <v>28.56</v>
      </c>
      <c r="Q75" s="754">
        <v>0</v>
      </c>
      <c r="R75" s="755" t="str">
        <f>IFERROR(VLOOKUP($C75,[25]Nod!$A$3:$E$992,4,FALSE)," ")</f>
        <v>BEV230</v>
      </c>
      <c r="S75" s="755">
        <f>IFERROR(VLOOKUP($C75,[25]Nod!$A$3:$E$992,5,FALSE)," ")</f>
        <v>4</v>
      </c>
      <c r="T75" s="756" t="s">
        <v>159</v>
      </c>
      <c r="V75" s="751"/>
      <c r="W75" s="753">
        <f>+'[26]Resumen Modelo'!G65</f>
        <v>0</v>
      </c>
      <c r="X75" s="753">
        <f>+'[26]Resumen Modelo'!H65</f>
        <v>0</v>
      </c>
      <c r="Y75" s="753">
        <f>+'[26]Resumen Modelo'!I65</f>
        <v>0</v>
      </c>
      <c r="Z75" s="753">
        <f>+'[26]Resumen Modelo'!J65</f>
        <v>0</v>
      </c>
      <c r="AA75" s="753">
        <f>+'[26]Resumen Modelo'!K65</f>
        <v>0</v>
      </c>
      <c r="AB75" s="753">
        <f>+'[26]Resumen Modelo'!L65</f>
        <v>0</v>
      </c>
      <c r="AC75" s="753">
        <f>+'[26]Resumen Modelo'!M65</f>
        <v>0</v>
      </c>
      <c r="AD75" s="753">
        <f>+'[26]Resumen Modelo'!N65</f>
        <v>0</v>
      </c>
      <c r="AE75" s="753">
        <f>+'[26]Resumen Modelo'!O65</f>
        <v>0</v>
      </c>
      <c r="AF75" s="753">
        <f>+'[26]Resumen Modelo'!P65</f>
        <v>0</v>
      </c>
      <c r="AG75" s="753">
        <f>+'[26]Resumen Modelo'!Q65</f>
        <v>0</v>
      </c>
      <c r="AH75" s="753">
        <f>+'[26]Resumen Modelo'!R65</f>
        <v>0</v>
      </c>
      <c r="AI75" s="788"/>
      <c r="AJ75" s="717" t="str">
        <f>IFERROR(VLOOKUP($V65,#REF!,4,FALSE)," ")</f>
        <v xml:space="preserve"> </v>
      </c>
      <c r="AK75" s="757" t="s">
        <v>169</v>
      </c>
      <c r="AL75" s="758"/>
      <c r="AM75" s="759"/>
      <c r="AN75" s="760"/>
    </row>
    <row r="76" spans="1:40" ht="15" customHeight="1">
      <c r="A76" s="750" t="s">
        <v>437</v>
      </c>
      <c r="C76" s="751">
        <v>6380</v>
      </c>
      <c r="D76" s="752">
        <v>3</v>
      </c>
      <c r="E76" s="753">
        <v>0</v>
      </c>
      <c r="F76" s="753">
        <v>0</v>
      </c>
      <c r="G76" s="753">
        <v>0</v>
      </c>
      <c r="H76" s="753">
        <v>0</v>
      </c>
      <c r="I76" s="753">
        <v>0</v>
      </c>
      <c r="J76" s="753">
        <v>0</v>
      </c>
      <c r="K76" s="753">
        <v>0</v>
      </c>
      <c r="L76" s="753">
        <v>0</v>
      </c>
      <c r="M76" s="753">
        <v>0</v>
      </c>
      <c r="N76" s="753">
        <v>0</v>
      </c>
      <c r="O76" s="753">
        <v>0</v>
      </c>
      <c r="P76" s="753">
        <v>0</v>
      </c>
      <c r="Q76" s="754">
        <v>13</v>
      </c>
      <c r="R76" s="755" t="str">
        <f>IFERROR(VLOOKUP($C76,[25]Nod!$A$3:$E$992,4,FALSE)," ")</f>
        <v>BOQIII230</v>
      </c>
      <c r="S76" s="755">
        <f>IFERROR(VLOOKUP($C76,[25]Nod!$A$3:$E$992,5,FALSE)," ")</f>
        <v>4</v>
      </c>
      <c r="T76" s="761" t="s">
        <v>438</v>
      </c>
      <c r="V76" s="751">
        <v>6170</v>
      </c>
      <c r="W76" s="753">
        <f>+'[26]Resumen Modelo'!G66</f>
        <v>7.07</v>
      </c>
      <c r="X76" s="753">
        <f>+'[26]Resumen Modelo'!H66</f>
        <v>6.94</v>
      </c>
      <c r="Y76" s="753">
        <f>+'[26]Resumen Modelo'!I66</f>
        <v>7.17</v>
      </c>
      <c r="Z76" s="753">
        <f>+'[26]Resumen Modelo'!J66</f>
        <v>6.18</v>
      </c>
      <c r="AA76" s="753">
        <f>+'[26]Resumen Modelo'!K66</f>
        <v>4.1900000000000004</v>
      </c>
      <c r="AB76" s="753">
        <f>+'[26]Resumen Modelo'!L66</f>
        <v>6.78</v>
      </c>
      <c r="AC76" s="753">
        <f>+'[26]Resumen Modelo'!M66</f>
        <v>6.38</v>
      </c>
      <c r="AD76" s="753">
        <f>+'[26]Resumen Modelo'!N66</f>
        <v>4.74</v>
      </c>
      <c r="AE76" s="753">
        <f>+'[26]Resumen Modelo'!O66</f>
        <v>7.08</v>
      </c>
      <c r="AF76" s="753">
        <f>+'[26]Resumen Modelo'!P66</f>
        <v>7.01</v>
      </c>
      <c r="AG76" s="753">
        <f>+'[26]Resumen Modelo'!Q66</f>
        <v>6.97</v>
      </c>
      <c r="AH76" s="753">
        <f>+'[26]Resumen Modelo'!R66</f>
        <v>7.08</v>
      </c>
      <c r="AI76" s="788">
        <f>+MAX(W76:AH76)</f>
        <v>7.17</v>
      </c>
      <c r="AJ76" s="717"/>
      <c r="AK76" s="762" t="s">
        <v>30</v>
      </c>
      <c r="AL76" s="758"/>
      <c r="AM76" s="759">
        <v>6059</v>
      </c>
      <c r="AN76" s="760">
        <v>139.05087655862084</v>
      </c>
    </row>
    <row r="77" spans="1:40" ht="15" customHeight="1">
      <c r="A77" s="750" t="s">
        <v>439</v>
      </c>
      <c r="C77" s="751">
        <v>6380</v>
      </c>
      <c r="D77" s="752">
        <v>7.62</v>
      </c>
      <c r="E77" s="753">
        <v>7.62</v>
      </c>
      <c r="F77" s="753">
        <v>7.62</v>
      </c>
      <c r="G77" s="753">
        <v>7.62</v>
      </c>
      <c r="H77" s="753">
        <v>7.62</v>
      </c>
      <c r="I77" s="753">
        <v>7.62</v>
      </c>
      <c r="J77" s="753">
        <v>7.62</v>
      </c>
      <c r="K77" s="753">
        <v>7.62</v>
      </c>
      <c r="L77" s="753">
        <v>7.62</v>
      </c>
      <c r="M77" s="753">
        <v>7.62</v>
      </c>
      <c r="N77" s="753">
        <v>7.62</v>
      </c>
      <c r="O77" s="753">
        <v>7.62</v>
      </c>
      <c r="P77" s="753">
        <v>7.62</v>
      </c>
      <c r="Q77" s="754">
        <v>0</v>
      </c>
      <c r="R77" s="755" t="str">
        <f>IFERROR(VLOOKUP($C77,[25]Nod!$A$3:$E$992,4,FALSE)," ")</f>
        <v>BOQIII230</v>
      </c>
      <c r="S77" s="755">
        <f>IFERROR(VLOOKUP($C77,[25]Nod!$A$3:$E$992,5,FALSE)," ")</f>
        <v>4</v>
      </c>
      <c r="T77" s="761" t="s">
        <v>160</v>
      </c>
      <c r="V77" s="751">
        <v>6059</v>
      </c>
      <c r="W77" s="753">
        <f>+'[26]Resumen Modelo'!G67</f>
        <v>0.27</v>
      </c>
      <c r="X77" s="753">
        <f>+'[26]Resumen Modelo'!H67</f>
        <v>0.28000000000000003</v>
      </c>
      <c r="Y77" s="753">
        <f>+'[26]Resumen Modelo'!I67</f>
        <v>0.28000000000000003</v>
      </c>
      <c r="Z77" s="753">
        <f>+'[26]Resumen Modelo'!J67</f>
        <v>0.28999999999999998</v>
      </c>
      <c r="AA77" s="753">
        <f>+'[26]Resumen Modelo'!K67</f>
        <v>0.28999999999999998</v>
      </c>
      <c r="AB77" s="753">
        <f>+'[26]Resumen Modelo'!L67</f>
        <v>0.28999999999999998</v>
      </c>
      <c r="AC77" s="753">
        <f>+'[26]Resumen Modelo'!M67</f>
        <v>0.27</v>
      </c>
      <c r="AD77" s="753">
        <f>+'[26]Resumen Modelo'!N67</f>
        <v>0.28000000000000003</v>
      </c>
      <c r="AE77" s="753">
        <f>+'[26]Resumen Modelo'!O67</f>
        <v>0.28000000000000003</v>
      </c>
      <c r="AF77" s="753">
        <f>+'[26]Resumen Modelo'!P67</f>
        <v>0.28000000000000003</v>
      </c>
      <c r="AG77" s="753">
        <f>+'[26]Resumen Modelo'!Q67</f>
        <v>0.28999999999999998</v>
      </c>
      <c r="AH77" s="753">
        <f>+'[26]Resumen Modelo'!R67</f>
        <v>0.28999999999999998</v>
      </c>
      <c r="AI77" s="788">
        <f>+MAX(W77:AH77)</f>
        <v>0.28999999999999998</v>
      </c>
      <c r="AJ77" s="717" t="str">
        <f>IFERROR(VLOOKUP($V66,#REF!,4,FALSE)," ")</f>
        <v xml:space="preserve"> </v>
      </c>
      <c r="AK77" s="757" t="s">
        <v>159</v>
      </c>
      <c r="AL77" s="758"/>
      <c r="AM77" s="759"/>
      <c r="AN77" s="760"/>
    </row>
    <row r="78" spans="1:40" ht="15" customHeight="1">
      <c r="A78" s="750" t="s">
        <v>440</v>
      </c>
      <c r="C78" s="751">
        <v>6380</v>
      </c>
      <c r="D78" s="752">
        <v>0.74099999999999999</v>
      </c>
      <c r="E78" s="753"/>
      <c r="F78" s="753"/>
      <c r="G78" s="753"/>
      <c r="H78" s="753"/>
      <c r="I78" s="753"/>
      <c r="J78" s="753"/>
      <c r="K78" s="753"/>
      <c r="L78" s="753"/>
      <c r="M78" s="753"/>
      <c r="N78" s="753"/>
      <c r="O78" s="753"/>
      <c r="P78" s="753"/>
      <c r="Q78" s="754"/>
      <c r="R78" s="755" t="str">
        <f>IFERROR(VLOOKUP($C78,[25]Nod!$A$3:$E$992,4,FALSE)," ")</f>
        <v>BOQIII230</v>
      </c>
      <c r="S78" s="755">
        <f>IFERROR(VLOOKUP($C78,[25]Nod!$A$3:$E$992,5,FALSE)," ")</f>
        <v>4</v>
      </c>
      <c r="T78" s="761" t="s">
        <v>441</v>
      </c>
      <c r="V78" s="751">
        <v>6173</v>
      </c>
      <c r="W78" s="753">
        <f>+'[26]Resumen Modelo'!G68</f>
        <v>0</v>
      </c>
      <c r="X78" s="753">
        <f>+'[26]Resumen Modelo'!H68</f>
        <v>0</v>
      </c>
      <c r="Y78" s="753">
        <f>+'[26]Resumen Modelo'!I68</f>
        <v>0</v>
      </c>
      <c r="Z78" s="753">
        <f>+'[26]Resumen Modelo'!J68</f>
        <v>0</v>
      </c>
      <c r="AA78" s="753">
        <f>+'[26]Resumen Modelo'!K68</f>
        <v>0</v>
      </c>
      <c r="AB78" s="753">
        <f>+'[26]Resumen Modelo'!L68</f>
        <v>0</v>
      </c>
      <c r="AC78" s="753">
        <f>+'[26]Resumen Modelo'!M68</f>
        <v>0</v>
      </c>
      <c r="AD78" s="753">
        <f>+'[26]Resumen Modelo'!N68</f>
        <v>0</v>
      </c>
      <c r="AE78" s="753">
        <f>+'[26]Resumen Modelo'!O68</f>
        <v>0</v>
      </c>
      <c r="AF78" s="753">
        <f>+'[26]Resumen Modelo'!P68</f>
        <v>0</v>
      </c>
      <c r="AG78" s="753">
        <f>+'[26]Resumen Modelo'!Q68</f>
        <v>0</v>
      </c>
      <c r="AH78" s="753">
        <f>+'[26]Resumen Modelo'!R68</f>
        <v>0</v>
      </c>
      <c r="AI78" s="788">
        <f>+MAX(W78:AH78)</f>
        <v>0</v>
      </c>
      <c r="AJ78" s="717" t="str">
        <f>IFERROR(VLOOKUP($V67,#REF!,4,FALSE)," ")</f>
        <v xml:space="preserve"> </v>
      </c>
      <c r="AK78" s="762" t="s">
        <v>438</v>
      </c>
      <c r="AL78" s="758"/>
      <c r="AM78" s="759">
        <v>6170</v>
      </c>
      <c r="AN78" s="760">
        <v>8.3198600170736992</v>
      </c>
    </row>
    <row r="79" spans="1:40" ht="15" customHeight="1">
      <c r="A79" s="750" t="s">
        <v>442</v>
      </c>
      <c r="C79" s="751">
        <v>6380</v>
      </c>
      <c r="D79" s="752">
        <v>4.75</v>
      </c>
      <c r="E79" s="753"/>
      <c r="F79" s="753"/>
      <c r="G79" s="753"/>
      <c r="H79" s="753"/>
      <c r="I79" s="753"/>
      <c r="J79" s="753"/>
      <c r="K79" s="753"/>
      <c r="L79" s="753"/>
      <c r="M79" s="753"/>
      <c r="N79" s="753"/>
      <c r="O79" s="753"/>
      <c r="P79" s="753"/>
      <c r="Q79" s="754"/>
      <c r="R79" s="755" t="str">
        <f>IFERROR(VLOOKUP($C79,[25]Nod!$A$3:$E$992,4,FALSE)," ")</f>
        <v>BOQIII230</v>
      </c>
      <c r="S79" s="755">
        <f>IFERROR(VLOOKUP($C79,[25]Nod!$A$3:$E$992,5,FALSE)," ")</f>
        <v>4</v>
      </c>
      <c r="T79" s="763" t="s">
        <v>151</v>
      </c>
      <c r="U79" s="764"/>
      <c r="V79" s="765"/>
      <c r="W79" s="753">
        <f>+'[26]Resumen Modelo'!G69</f>
        <v>0</v>
      </c>
      <c r="X79" s="753">
        <f>+'[26]Resumen Modelo'!H69</f>
        <v>0</v>
      </c>
      <c r="Y79" s="753">
        <f>+'[26]Resumen Modelo'!I69</f>
        <v>0</v>
      </c>
      <c r="Z79" s="753">
        <f>+'[26]Resumen Modelo'!J69</f>
        <v>0</v>
      </c>
      <c r="AA79" s="753">
        <f>+'[26]Resumen Modelo'!K69</f>
        <v>0</v>
      </c>
      <c r="AB79" s="753">
        <f>+'[26]Resumen Modelo'!L69</f>
        <v>0</v>
      </c>
      <c r="AC79" s="753">
        <f>+'[26]Resumen Modelo'!M69</f>
        <v>0</v>
      </c>
      <c r="AD79" s="753">
        <f>+'[26]Resumen Modelo'!N69</f>
        <v>0</v>
      </c>
      <c r="AE79" s="753">
        <f>+'[26]Resumen Modelo'!O69</f>
        <v>0</v>
      </c>
      <c r="AF79" s="753">
        <f>+'[26]Resumen Modelo'!P69</f>
        <v>0</v>
      </c>
      <c r="AG79" s="753">
        <f>+'[26]Resumen Modelo'!Q69</f>
        <v>0</v>
      </c>
      <c r="AH79" s="753">
        <f>+'[26]Resumen Modelo'!R69</f>
        <v>0</v>
      </c>
      <c r="AI79" s="795"/>
      <c r="AJ79" s="717" t="str">
        <f>IFERROR(VLOOKUP($V68,#REF!,4,FALSE)," ")</f>
        <v xml:space="preserve"> </v>
      </c>
      <c r="AK79" s="762" t="s">
        <v>160</v>
      </c>
      <c r="AL79" s="758"/>
      <c r="AM79" s="759">
        <v>6059</v>
      </c>
      <c r="AN79" s="760">
        <v>0.28050338355614318</v>
      </c>
    </row>
    <row r="80" spans="1:40" ht="15" customHeight="1">
      <c r="A80" s="808" t="s">
        <v>443</v>
      </c>
      <c r="B80" s="719"/>
      <c r="C80" s="809">
        <v>6013</v>
      </c>
      <c r="D80" s="752">
        <v>10</v>
      </c>
      <c r="E80" s="783"/>
      <c r="F80" s="783"/>
      <c r="G80" s="783"/>
      <c r="H80" s="783"/>
      <c r="I80" s="783"/>
      <c r="J80" s="783"/>
      <c r="K80" s="783"/>
      <c r="L80" s="783"/>
      <c r="M80" s="783"/>
      <c r="N80" s="783"/>
      <c r="O80" s="783"/>
      <c r="P80" s="783"/>
      <c r="Q80" s="784">
        <v>0</v>
      </c>
      <c r="R80" s="755" t="str">
        <f>IFERROR(VLOOKUP($C80,[25]Nod!$A$3:$E$992,4,FALSE)," ")</f>
        <v>MDN34</v>
      </c>
      <c r="S80" s="755">
        <f>IFERROR(VLOOKUP($C80,[25]Nod!$A$3:$E$992,5,FALSE)," ")</f>
        <v>4</v>
      </c>
      <c r="T80" s="771">
        <v>10</v>
      </c>
      <c r="U80" s="772"/>
      <c r="V80" s="773"/>
      <c r="W80" s="780">
        <f>+'[26]Resumen Modelo'!G70</f>
        <v>43.45</v>
      </c>
      <c r="X80" s="780">
        <f>+'[26]Resumen Modelo'!H70</f>
        <v>43.75</v>
      </c>
      <c r="Y80" s="780">
        <f>+'[26]Resumen Modelo'!I70</f>
        <v>44.66</v>
      </c>
      <c r="Z80" s="780">
        <f>+'[26]Resumen Modelo'!J70</f>
        <v>44.59</v>
      </c>
      <c r="AA80" s="780">
        <f>+'[26]Resumen Modelo'!K70</f>
        <v>42.88</v>
      </c>
      <c r="AB80" s="780">
        <f>+'[26]Resumen Modelo'!L70</f>
        <v>43.31</v>
      </c>
      <c r="AC80" s="780">
        <f>+'[26]Resumen Modelo'!M70</f>
        <v>41.980000000000004</v>
      </c>
      <c r="AD80" s="780">
        <f>+'[26]Resumen Modelo'!N70</f>
        <v>42.87</v>
      </c>
      <c r="AE80" s="780">
        <f>+'[26]Resumen Modelo'!O70</f>
        <v>43.980000000000004</v>
      </c>
      <c r="AF80" s="780">
        <f>+'[26]Resumen Modelo'!P70</f>
        <v>44.32</v>
      </c>
      <c r="AG80" s="780">
        <f>+'[26]Resumen Modelo'!Q70</f>
        <v>44.58</v>
      </c>
      <c r="AH80" s="780">
        <f>+'[26]Resumen Modelo'!R70</f>
        <v>44.31</v>
      </c>
      <c r="AI80" s="780">
        <f>SUM(AI81:AI84)</f>
        <v>45.04</v>
      </c>
      <c r="AJ80" s="717" t="str">
        <f>IFERROR(VLOOKUP($V69,#REF!,4,FALSE)," ")</f>
        <v xml:space="preserve"> </v>
      </c>
      <c r="AK80" s="767" t="s">
        <v>151</v>
      </c>
      <c r="AL80" s="768"/>
      <c r="AM80" s="769"/>
      <c r="AN80" s="770"/>
    </row>
    <row r="81" spans="1:40" ht="15" customHeight="1">
      <c r="A81" s="808" t="s">
        <v>444</v>
      </c>
      <c r="B81" s="719"/>
      <c r="C81" s="809">
        <v>6013</v>
      </c>
      <c r="D81" s="752">
        <v>10</v>
      </c>
      <c r="E81" s="783"/>
      <c r="F81" s="783"/>
      <c r="G81" s="783"/>
      <c r="H81" s="783"/>
      <c r="I81" s="783"/>
      <c r="J81" s="783"/>
      <c r="K81" s="783"/>
      <c r="L81" s="783"/>
      <c r="M81" s="783"/>
      <c r="N81" s="783"/>
      <c r="O81" s="783"/>
      <c r="P81" s="783"/>
      <c r="Q81" s="784">
        <v>0</v>
      </c>
      <c r="R81" s="755" t="str">
        <f>IFERROR(VLOOKUP($C81,[25]Nod!$A$3:$E$992,4,FALSE)," ")</f>
        <v>MDN34</v>
      </c>
      <c r="S81" s="755">
        <f>IFERROR(VLOOKUP($C81,[25]Nod!$A$3:$E$992,5,FALSE)," ")</f>
        <v>4</v>
      </c>
      <c r="T81" s="756" t="s">
        <v>91</v>
      </c>
      <c r="V81" s="751"/>
      <c r="W81" s="753">
        <f>+'[26]Resumen Modelo'!G71</f>
        <v>0</v>
      </c>
      <c r="X81" s="753">
        <f>+'[26]Resumen Modelo'!H71</f>
        <v>0</v>
      </c>
      <c r="Y81" s="753">
        <f>+'[26]Resumen Modelo'!I71</f>
        <v>0</v>
      </c>
      <c r="Z81" s="753">
        <f>+'[26]Resumen Modelo'!J71</f>
        <v>0</v>
      </c>
      <c r="AA81" s="753">
        <f>+'[26]Resumen Modelo'!K71</f>
        <v>0</v>
      </c>
      <c r="AB81" s="753">
        <f>+'[26]Resumen Modelo'!L71</f>
        <v>0</v>
      </c>
      <c r="AC81" s="753">
        <f>+'[26]Resumen Modelo'!M71</f>
        <v>0</v>
      </c>
      <c r="AD81" s="753">
        <f>+'[26]Resumen Modelo'!N71</f>
        <v>0</v>
      </c>
      <c r="AE81" s="753">
        <f>+'[26]Resumen Modelo'!O71</f>
        <v>0</v>
      </c>
      <c r="AF81" s="753">
        <f>+'[26]Resumen Modelo'!P71</f>
        <v>0</v>
      </c>
      <c r="AG81" s="753">
        <f>+'[26]Resumen Modelo'!Q71</f>
        <v>0</v>
      </c>
      <c r="AH81" s="753">
        <f>+'[26]Resumen Modelo'!R71</f>
        <v>0</v>
      </c>
      <c r="AI81" s="788"/>
      <c r="AJ81" s="717"/>
      <c r="AK81" s="775">
        <v>10</v>
      </c>
      <c r="AL81" s="776"/>
      <c r="AM81" s="777"/>
      <c r="AN81" s="778">
        <v>46.41</v>
      </c>
    </row>
    <row r="82" spans="1:40" ht="15" customHeight="1">
      <c r="A82" s="808" t="s">
        <v>445</v>
      </c>
      <c r="B82" s="719"/>
      <c r="C82" s="809">
        <v>6013</v>
      </c>
      <c r="D82" s="752">
        <v>10</v>
      </c>
      <c r="E82" s="783"/>
      <c r="F82" s="783"/>
      <c r="G82" s="783"/>
      <c r="H82" s="783"/>
      <c r="I82" s="783"/>
      <c r="J82" s="783"/>
      <c r="K82" s="783"/>
      <c r="L82" s="783"/>
      <c r="M82" s="783"/>
      <c r="N82" s="783"/>
      <c r="O82" s="783"/>
      <c r="P82" s="783"/>
      <c r="Q82" s="784">
        <v>0</v>
      </c>
      <c r="R82" s="755" t="str">
        <f>IFERROR(VLOOKUP($C82,[25]Nod!$A$3:$E$992,4,FALSE)," ")</f>
        <v>MDN34</v>
      </c>
      <c r="S82" s="755">
        <f>IFERROR(VLOOKUP($C82,[25]Nod!$A$3:$E$992,5,FALSE)," ")</f>
        <v>4</v>
      </c>
      <c r="T82" s="761" t="s">
        <v>194</v>
      </c>
      <c r="V82" s="751">
        <v>6340</v>
      </c>
      <c r="W82" s="753">
        <f>+'[26]Resumen Modelo'!G72</f>
        <v>26.55</v>
      </c>
      <c r="X82" s="753">
        <f>+'[26]Resumen Modelo'!H72</f>
        <v>26.42</v>
      </c>
      <c r="Y82" s="753">
        <f>+'[26]Resumen Modelo'!I72</f>
        <v>26.42</v>
      </c>
      <c r="Z82" s="753">
        <f>+'[26]Resumen Modelo'!J72</f>
        <v>26.61</v>
      </c>
      <c r="AA82" s="753">
        <f>+'[26]Resumen Modelo'!K72</f>
        <v>26.44</v>
      </c>
      <c r="AB82" s="753">
        <f>+'[26]Resumen Modelo'!L72</f>
        <v>26.8</v>
      </c>
      <c r="AC82" s="753">
        <f>+'[26]Resumen Modelo'!M72</f>
        <v>26.48</v>
      </c>
      <c r="AD82" s="753">
        <f>+'[26]Resumen Modelo'!N72</f>
        <v>26.56</v>
      </c>
      <c r="AE82" s="753">
        <f>+'[26]Resumen Modelo'!O72</f>
        <v>26.56</v>
      </c>
      <c r="AF82" s="753">
        <f>+'[26]Resumen Modelo'!P72</f>
        <v>26.35</v>
      </c>
      <c r="AG82" s="753">
        <f>+'[26]Resumen Modelo'!Q72</f>
        <v>26.4</v>
      </c>
      <c r="AH82" s="753">
        <f>+'[26]Resumen Modelo'!R72</f>
        <v>26.43</v>
      </c>
      <c r="AI82" s="788">
        <f>+MAX(W82:AH82)</f>
        <v>26.8</v>
      </c>
      <c r="AJ82" s="717" t="str">
        <f>IFERROR(VLOOKUP($V70,#REF!,4,FALSE)," ")</f>
        <v xml:space="preserve"> </v>
      </c>
      <c r="AK82" s="757" t="s">
        <v>91</v>
      </c>
      <c r="AL82" s="758"/>
      <c r="AM82" s="759"/>
      <c r="AN82" s="760"/>
    </row>
    <row r="83" spans="1:40" ht="15" customHeight="1">
      <c r="A83" s="808" t="s">
        <v>446</v>
      </c>
      <c r="B83" s="719"/>
      <c r="C83" s="809">
        <v>6013</v>
      </c>
      <c r="D83" s="752">
        <v>10</v>
      </c>
      <c r="E83" s="783"/>
      <c r="F83" s="783"/>
      <c r="G83" s="783"/>
      <c r="H83" s="783"/>
      <c r="I83" s="783"/>
      <c r="J83" s="783"/>
      <c r="K83" s="783"/>
      <c r="L83" s="783"/>
      <c r="M83" s="783"/>
      <c r="N83" s="783"/>
      <c r="O83" s="783"/>
      <c r="P83" s="783"/>
      <c r="Q83" s="784">
        <v>0</v>
      </c>
      <c r="R83" s="755" t="str">
        <f>IFERROR(VLOOKUP($C83,[25]Nod!$A$3:$E$992,4,FALSE)," ")</f>
        <v>MDN34</v>
      </c>
      <c r="S83" s="755">
        <f>IFERROR(VLOOKUP($C83,[25]Nod!$A$3:$E$992,5,FALSE)," ")</f>
        <v>4</v>
      </c>
      <c r="T83" s="761" t="s">
        <v>447</v>
      </c>
      <c r="V83" s="751">
        <v>6262</v>
      </c>
      <c r="W83" s="753">
        <f>+'[26]Resumen Modelo'!G73</f>
        <v>16.899999999999999</v>
      </c>
      <c r="X83" s="753">
        <f>+'[26]Resumen Modelo'!H73</f>
        <v>17.329999999999998</v>
      </c>
      <c r="Y83" s="753">
        <f>+'[26]Resumen Modelo'!I73</f>
        <v>18.239999999999998</v>
      </c>
      <c r="Z83" s="753">
        <f>+'[26]Resumen Modelo'!J73</f>
        <v>17.98</v>
      </c>
      <c r="AA83" s="753">
        <f>+'[26]Resumen Modelo'!K73</f>
        <v>16.440000000000001</v>
      </c>
      <c r="AB83" s="753">
        <f>+'[26]Resumen Modelo'!L73</f>
        <v>16.510000000000002</v>
      </c>
      <c r="AC83" s="753">
        <f>+'[26]Resumen Modelo'!M73</f>
        <v>15.5</v>
      </c>
      <c r="AD83" s="753">
        <f>+'[26]Resumen Modelo'!N73</f>
        <v>16.309999999999999</v>
      </c>
      <c r="AE83" s="753">
        <f>+'[26]Resumen Modelo'!O73</f>
        <v>17.420000000000002</v>
      </c>
      <c r="AF83" s="753">
        <f>+'[26]Resumen Modelo'!P73</f>
        <v>17.97</v>
      </c>
      <c r="AG83" s="753">
        <f>+'[26]Resumen Modelo'!Q73</f>
        <v>18.18</v>
      </c>
      <c r="AH83" s="753">
        <f>+'[26]Resumen Modelo'!R73</f>
        <v>17.88</v>
      </c>
      <c r="AI83" s="788">
        <f>+MAX(W83:AH83)</f>
        <v>18.239999999999998</v>
      </c>
      <c r="AJ83" s="717" t="str">
        <f>IFERROR(VLOOKUP($V71,#REF!,4,FALSE)," ")</f>
        <v xml:space="preserve"> </v>
      </c>
      <c r="AK83" s="762" t="s">
        <v>194</v>
      </c>
      <c r="AL83" s="758"/>
      <c r="AM83" s="759">
        <v>6340</v>
      </c>
      <c r="AN83" s="760">
        <v>27.75</v>
      </c>
    </row>
    <row r="84" spans="1:40" ht="15" customHeight="1">
      <c r="A84" s="808" t="s">
        <v>448</v>
      </c>
      <c r="B84" s="719"/>
      <c r="C84" s="810">
        <v>6182</v>
      </c>
      <c r="D84" s="752">
        <v>10</v>
      </c>
      <c r="E84" s="783"/>
      <c r="F84" s="783"/>
      <c r="G84" s="783"/>
      <c r="H84" s="783"/>
      <c r="I84" s="783"/>
      <c r="J84" s="783"/>
      <c r="K84" s="783"/>
      <c r="L84" s="783"/>
      <c r="M84" s="783"/>
      <c r="N84" s="783"/>
      <c r="O84" s="783"/>
      <c r="P84" s="783"/>
      <c r="Q84" s="784">
        <v>0</v>
      </c>
      <c r="R84" s="755" t="str">
        <f>IFERROR(VLOOKUP($C84,[25]Nod!$A$3:$E$992,4,FALSE)," ")</f>
        <v>VEL230</v>
      </c>
      <c r="S84" s="755">
        <f>IFERROR(VLOOKUP($C84,[25]Nod!$A$3:$E$992,5,FALSE)," ")</f>
        <v>4</v>
      </c>
      <c r="T84" s="763" t="s">
        <v>151</v>
      </c>
      <c r="U84" s="764"/>
      <c r="V84" s="765"/>
      <c r="W84" s="765"/>
      <c r="X84" s="765"/>
      <c r="Y84" s="765"/>
      <c r="Z84" s="765"/>
      <c r="AA84" s="765"/>
      <c r="AB84" s="765"/>
      <c r="AC84" s="765"/>
      <c r="AD84" s="765"/>
      <c r="AE84" s="765"/>
      <c r="AF84" s="765"/>
      <c r="AG84" s="765"/>
      <c r="AH84" s="765"/>
      <c r="AI84" s="795"/>
      <c r="AJ84" s="717" t="str">
        <f>IFERROR(VLOOKUP($V72,#REF!,4,FALSE)," ")</f>
        <v xml:space="preserve"> </v>
      </c>
      <c r="AK84" s="762" t="s">
        <v>447</v>
      </c>
      <c r="AL84" s="758"/>
      <c r="AM84" s="759">
        <v>6262</v>
      </c>
      <c r="AN84" s="760">
        <v>18.66</v>
      </c>
    </row>
    <row r="85" spans="1:40" ht="15" customHeight="1">
      <c r="A85" s="808" t="s">
        <v>449</v>
      </c>
      <c r="B85" s="719"/>
      <c r="C85" s="810">
        <v>6182</v>
      </c>
      <c r="D85" s="752">
        <v>9.98</v>
      </c>
      <c r="E85" s="783"/>
      <c r="F85" s="783"/>
      <c r="G85" s="783"/>
      <c r="H85" s="783"/>
      <c r="I85" s="783"/>
      <c r="J85" s="783"/>
      <c r="K85" s="783"/>
      <c r="L85" s="783"/>
      <c r="M85" s="783"/>
      <c r="N85" s="783"/>
      <c r="O85" s="783"/>
      <c r="P85" s="783"/>
      <c r="Q85" s="784">
        <v>0</v>
      </c>
      <c r="R85" s="755" t="str">
        <f>IFERROR(VLOOKUP($C85,[25]Nod!$A$3:$E$992,4,FALSE)," ")</f>
        <v>VEL230</v>
      </c>
      <c r="S85" s="755">
        <f>IFERROR(VLOOKUP($C85,[25]Nod!$A$3:$E$992,5,FALSE)," ")</f>
        <v>4</v>
      </c>
      <c r="AB85" s="811"/>
      <c r="AJ85" s="717" t="str">
        <f>IFERROR(VLOOKUP($V73,#REF!,4,FALSE)," ")</f>
        <v xml:space="preserve"> </v>
      </c>
      <c r="AK85" s="767" t="s">
        <v>151</v>
      </c>
      <c r="AL85" s="768"/>
      <c r="AM85" s="769"/>
      <c r="AN85" s="770"/>
    </row>
    <row r="86" spans="1:40" ht="15" customHeight="1">
      <c r="A86" s="808" t="s">
        <v>450</v>
      </c>
      <c r="B86" s="719"/>
      <c r="C86" s="810">
        <v>6182</v>
      </c>
      <c r="D86" s="752">
        <v>31.8</v>
      </c>
      <c r="E86" s="783"/>
      <c r="F86" s="783"/>
      <c r="G86" s="783"/>
      <c r="H86" s="783"/>
      <c r="I86" s="783"/>
      <c r="J86" s="783"/>
      <c r="K86" s="783"/>
      <c r="L86" s="783"/>
      <c r="M86" s="783"/>
      <c r="N86" s="783"/>
      <c r="O86" s="783"/>
      <c r="P86" s="783"/>
      <c r="Q86" s="784">
        <v>0</v>
      </c>
      <c r="R86" s="755" t="str">
        <f>IFERROR(VLOOKUP($C86,[25]Nod!$A$3:$E$992,4,FALSE)," ")</f>
        <v>VEL230</v>
      </c>
      <c r="S86" s="755">
        <f>IFERROR(VLOOKUP($C86,[25]Nod!$A$3:$E$992,5,FALSE)," ")</f>
        <v>4</v>
      </c>
      <c r="AB86" s="811"/>
      <c r="AJ86" s="717" t="str">
        <f>IFERROR(VLOOKUP($V74,#REF!,4,FALSE)," ")</f>
        <v xml:space="preserve"> </v>
      </c>
      <c r="AK86" s="717" t="str">
        <f>IFERROR(VLOOKUP($V74,#REF!,5,FALSE)," ")</f>
        <v xml:space="preserve"> </v>
      </c>
    </row>
    <row r="87" spans="1:40" ht="15" customHeight="1">
      <c r="A87" s="808" t="s">
        <v>451</v>
      </c>
      <c r="C87" s="810">
        <v>6380</v>
      </c>
      <c r="D87" s="752"/>
      <c r="E87" s="783"/>
      <c r="F87" s="783"/>
      <c r="G87" s="783"/>
      <c r="H87" s="783"/>
      <c r="I87" s="783"/>
      <c r="J87" s="783"/>
      <c r="K87" s="783"/>
      <c r="L87" s="783"/>
      <c r="M87" s="783"/>
      <c r="N87" s="783"/>
      <c r="O87" s="783"/>
      <c r="P87" s="783"/>
      <c r="Q87" s="784"/>
      <c r="R87" s="755" t="str">
        <f>IFERROR(VLOOKUP($C87,[25]Nod!$A$3:$E$992,4,FALSE)," ")</f>
        <v>BOQIII230</v>
      </c>
      <c r="S87" s="755">
        <f>IFERROR(VLOOKUP($C87,[25]Nod!$A$3:$E$992,5,FALSE)," ")</f>
        <v>4</v>
      </c>
      <c r="AJ87" s="717" t="str">
        <f>IFERROR(VLOOKUP($V75,#REF!,4,FALSE)," ")</f>
        <v xml:space="preserve"> </v>
      </c>
      <c r="AK87" s="717" t="str">
        <f>IFERROR(VLOOKUP($V75,#REF!,5,FALSE)," ")</f>
        <v xml:space="preserve"> </v>
      </c>
    </row>
    <row r="88" spans="1:40" ht="15" customHeight="1">
      <c r="A88" s="808" t="s">
        <v>452</v>
      </c>
      <c r="C88" s="810">
        <v>6380</v>
      </c>
      <c r="D88" s="752"/>
      <c r="E88" s="783"/>
      <c r="F88" s="783"/>
      <c r="G88" s="783"/>
      <c r="H88" s="783"/>
      <c r="I88" s="783"/>
      <c r="J88" s="783"/>
      <c r="K88" s="783"/>
      <c r="L88" s="783"/>
      <c r="M88" s="783"/>
      <c r="N88" s="783"/>
      <c r="O88" s="783"/>
      <c r="P88" s="783"/>
      <c r="Q88" s="784"/>
      <c r="R88" s="755" t="str">
        <f>IFERROR(VLOOKUP($C88,[25]Nod!$A$3:$E$992,4,FALSE)," ")</f>
        <v>BOQIII230</v>
      </c>
      <c r="S88" s="755">
        <f>IFERROR(VLOOKUP($C88,[25]Nod!$A$3:$E$992,5,FALSE)," ")</f>
        <v>4</v>
      </c>
      <c r="W88" s="718"/>
      <c r="X88" s="717"/>
      <c r="Y88" s="717"/>
      <c r="AH88" s="811"/>
      <c r="AJ88" s="717" t="str">
        <f>IFERROR(VLOOKUP($V76,#REF!,4,FALSE)," ")</f>
        <v xml:space="preserve"> </v>
      </c>
      <c r="AK88" s="717" t="str">
        <f>IFERROR(VLOOKUP($V76,#REF!,5,FALSE)," ")</f>
        <v xml:space="preserve"> </v>
      </c>
    </row>
    <row r="89" spans="1:40" ht="15" customHeight="1">
      <c r="A89" s="808" t="s">
        <v>453</v>
      </c>
      <c r="C89" s="810">
        <v>6380</v>
      </c>
      <c r="D89" s="752"/>
      <c r="E89" s="783"/>
      <c r="F89" s="783"/>
      <c r="G89" s="783"/>
      <c r="H89" s="783"/>
      <c r="I89" s="783"/>
      <c r="J89" s="783"/>
      <c r="K89" s="783"/>
      <c r="L89" s="783"/>
      <c r="M89" s="783"/>
      <c r="N89" s="783"/>
      <c r="O89" s="783"/>
      <c r="P89" s="783"/>
      <c r="Q89" s="784"/>
      <c r="R89" s="755" t="str">
        <f>IFERROR(VLOOKUP($C89,[25]Nod!$A$3:$E$992,4,FALSE)," ")</f>
        <v>BOQIII230</v>
      </c>
      <c r="S89" s="755">
        <f>IFERROR(VLOOKUP($C89,[25]Nod!$A$3:$E$992,5,FALSE)," ")</f>
        <v>4</v>
      </c>
      <c r="W89" s="718"/>
      <c r="X89" s="717"/>
      <c r="Y89" s="717"/>
      <c r="AH89" s="811"/>
      <c r="AJ89" s="717" t="str">
        <f>IFERROR(VLOOKUP($V77,#REF!,4,FALSE)," ")</f>
        <v xml:space="preserve"> </v>
      </c>
      <c r="AK89" s="717" t="str">
        <f>IFERROR(VLOOKUP($V77,#REF!,5,FALSE)," ")</f>
        <v xml:space="preserve"> </v>
      </c>
    </row>
    <row r="90" spans="1:40" ht="15" customHeight="1">
      <c r="A90" s="808" t="s">
        <v>454</v>
      </c>
      <c r="C90" s="810">
        <v>6013</v>
      </c>
      <c r="D90" s="752"/>
      <c r="E90" s="783"/>
      <c r="F90" s="783"/>
      <c r="G90" s="783"/>
      <c r="H90" s="783"/>
      <c r="I90" s="783"/>
      <c r="J90" s="783"/>
      <c r="K90" s="783"/>
      <c r="L90" s="783"/>
      <c r="M90" s="783"/>
      <c r="N90" s="783"/>
      <c r="O90" s="783"/>
      <c r="P90" s="783"/>
      <c r="Q90" s="784"/>
      <c r="R90" s="755" t="str">
        <f>IFERROR(VLOOKUP($C90,[25]Nod!$A$3:$E$992,4,FALSE)," ")</f>
        <v>MDN34</v>
      </c>
      <c r="S90" s="755">
        <f>IFERROR(VLOOKUP($C90,[25]Nod!$A$3:$E$992,5,FALSE)," ")</f>
        <v>4</v>
      </c>
      <c r="W90" s="812"/>
      <c r="X90" s="717"/>
      <c r="Y90" s="717"/>
      <c r="AH90" s="718"/>
      <c r="AJ90" s="717" t="str">
        <f>IFERROR(VLOOKUP($V78,#REF!,4,FALSE)," ")</f>
        <v xml:space="preserve"> </v>
      </c>
      <c r="AK90" s="717" t="str">
        <f>IFERROR(VLOOKUP($V78,#REF!,5,FALSE)," ")</f>
        <v xml:space="preserve"> </v>
      </c>
    </row>
    <row r="91" spans="1:40" ht="15" customHeight="1">
      <c r="A91" s="808" t="s">
        <v>455</v>
      </c>
      <c r="C91" s="810">
        <v>6013</v>
      </c>
      <c r="D91" s="752"/>
      <c r="E91" s="783"/>
      <c r="F91" s="783"/>
      <c r="G91" s="783"/>
      <c r="H91" s="783"/>
      <c r="I91" s="783"/>
      <c r="J91" s="783"/>
      <c r="K91" s="783"/>
      <c r="L91" s="783"/>
      <c r="M91" s="783"/>
      <c r="N91" s="783"/>
      <c r="O91" s="783"/>
      <c r="P91" s="783"/>
      <c r="Q91" s="784"/>
      <c r="R91" s="755" t="str">
        <f>IFERROR(VLOOKUP($C91,[25]Nod!$A$3:$E$992,4,FALSE)," ")</f>
        <v>MDN34</v>
      </c>
      <c r="S91" s="755">
        <f>IFERROR(VLOOKUP($C91,[25]Nod!$A$3:$E$992,5,FALSE)," ")</f>
        <v>4</v>
      </c>
      <c r="W91" s="812"/>
      <c r="X91" s="717"/>
      <c r="Y91" s="717"/>
      <c r="AH91" s="718"/>
      <c r="AJ91" s="717" t="str">
        <f>IFERROR(VLOOKUP($V79,#REF!,4,FALSE)," ")</f>
        <v xml:space="preserve"> </v>
      </c>
      <c r="AK91" s="717" t="str">
        <f>IFERROR(VLOOKUP($V79,#REF!,5,FALSE)," ")</f>
        <v xml:space="preserve"> </v>
      </c>
    </row>
    <row r="92" spans="1:40" ht="15" customHeight="1">
      <c r="A92" s="808" t="s">
        <v>456</v>
      </c>
      <c r="C92" s="813">
        <v>6013</v>
      </c>
      <c r="D92" s="752"/>
      <c r="E92" s="783"/>
      <c r="F92" s="783"/>
      <c r="G92" s="783"/>
      <c r="H92" s="783"/>
      <c r="I92" s="783"/>
      <c r="J92" s="783"/>
      <c r="K92" s="783"/>
      <c r="L92" s="783"/>
      <c r="M92" s="783"/>
      <c r="N92" s="783"/>
      <c r="O92" s="783"/>
      <c r="P92" s="783"/>
      <c r="Q92" s="784"/>
      <c r="R92" s="755" t="str">
        <f>IFERROR(VLOOKUP($C92,[25]Nod!$A$3:$E$992,4,FALSE)," ")</f>
        <v>MDN34</v>
      </c>
      <c r="S92" s="755">
        <f>IFERROR(VLOOKUP($C92,[25]Nod!$A$3:$E$992,5,FALSE)," ")</f>
        <v>4</v>
      </c>
      <c r="X92" s="717"/>
      <c r="Y92" s="717"/>
      <c r="AH92" s="811"/>
      <c r="AJ92" s="717" t="str">
        <f>IFERROR(VLOOKUP($V80,#REF!,4,FALSE)," ")</f>
        <v xml:space="preserve"> </v>
      </c>
      <c r="AK92" s="717" t="str">
        <f>IFERROR(VLOOKUP($V80,#REF!,5,FALSE)," ")</f>
        <v xml:space="preserve"> </v>
      </c>
    </row>
    <row r="93" spans="1:40" ht="15" customHeight="1">
      <c r="A93" s="808" t="s">
        <v>457</v>
      </c>
      <c r="C93" s="813">
        <v>6520</v>
      </c>
      <c r="D93" s="752"/>
      <c r="E93" s="783"/>
      <c r="F93" s="783"/>
      <c r="G93" s="783"/>
      <c r="H93" s="783"/>
      <c r="I93" s="783"/>
      <c r="J93" s="783"/>
      <c r="K93" s="783"/>
      <c r="L93" s="783"/>
      <c r="M93" s="783"/>
      <c r="N93" s="783"/>
      <c r="O93" s="783"/>
      <c r="P93" s="783"/>
      <c r="Q93" s="784"/>
      <c r="R93" s="755" t="str">
        <f>IFERROR(VLOOKUP($C93,[25]Nod!$A$3:$E$992,4,FALSE)," ")</f>
        <v>SBA34</v>
      </c>
      <c r="S93" s="755">
        <f>IFERROR(VLOOKUP($C93,[25]Nod!$A$3:$E$992,5,FALSE)," ")</f>
        <v>4</v>
      </c>
      <c r="X93" s="717"/>
      <c r="Y93" s="717"/>
      <c r="AJ93" s="717" t="str">
        <f>IFERROR(VLOOKUP($V81,#REF!,4,FALSE)," ")</f>
        <v xml:space="preserve"> </v>
      </c>
      <c r="AK93" s="717" t="str">
        <f>IFERROR(VLOOKUP($V81,#REF!,5,FALSE)," ")</f>
        <v xml:space="preserve"> </v>
      </c>
    </row>
    <row r="94" spans="1:40" ht="15" customHeight="1">
      <c r="A94" s="808" t="s">
        <v>458</v>
      </c>
      <c r="C94" s="813">
        <v>6520</v>
      </c>
      <c r="D94" s="752"/>
      <c r="E94" s="783"/>
      <c r="F94" s="783"/>
      <c r="G94" s="783"/>
      <c r="H94" s="783"/>
      <c r="I94" s="783"/>
      <c r="J94" s="783"/>
      <c r="K94" s="783"/>
      <c r="L94" s="783"/>
      <c r="M94" s="783"/>
      <c r="N94" s="783"/>
      <c r="O94" s="783"/>
      <c r="P94" s="783"/>
      <c r="Q94" s="784"/>
      <c r="R94" s="755" t="str">
        <f>IFERROR(VLOOKUP($C94,[25]Nod!$A$3:$E$992,4,FALSE)," ")</f>
        <v>SBA34</v>
      </c>
      <c r="S94" s="755">
        <f>IFERROR(VLOOKUP($C94,[25]Nod!$A$3:$E$992,5,FALSE)," ")</f>
        <v>4</v>
      </c>
      <c r="X94" s="717"/>
      <c r="Y94" s="717"/>
      <c r="AJ94" s="717" t="str">
        <f>IFERROR(VLOOKUP($V82,#REF!,4,FALSE)," ")</f>
        <v xml:space="preserve"> </v>
      </c>
      <c r="AK94" s="717" t="str">
        <f>IFERROR(VLOOKUP($V82,#REF!,5,FALSE)," ")</f>
        <v xml:space="preserve"> </v>
      </c>
    </row>
    <row r="95" spans="1:40" ht="15" customHeight="1">
      <c r="A95" s="796" t="s">
        <v>151</v>
      </c>
      <c r="B95" s="764"/>
      <c r="C95" s="765"/>
      <c r="D95" s="797"/>
      <c r="E95" s="797"/>
      <c r="F95" s="797"/>
      <c r="G95" s="797"/>
      <c r="H95" s="797"/>
      <c r="I95" s="797"/>
      <c r="J95" s="797"/>
      <c r="K95" s="797"/>
      <c r="L95" s="797"/>
      <c r="M95" s="797"/>
      <c r="N95" s="797"/>
      <c r="O95" s="797"/>
      <c r="P95" s="797"/>
      <c r="Q95" s="798"/>
      <c r="R95" s="755" t="str">
        <f>IFERROR(VLOOKUP(#REF!,[24]Nod!$A$3:$E$993,4,FALSE)," ")</f>
        <v xml:space="preserve"> </v>
      </c>
      <c r="S95" s="755" t="str">
        <f>IFERROR(VLOOKUP(#REF!,[24]Nod!$A$3:$E$993,5,FALSE)," ")</f>
        <v xml:space="preserve"> </v>
      </c>
      <c r="X95" s="717"/>
      <c r="Y95" s="717"/>
      <c r="AJ95" s="717" t="str">
        <f>IFERROR(VLOOKUP($V83,#REF!,4,FALSE)," ")</f>
        <v xml:space="preserve"> </v>
      </c>
      <c r="AK95" s="717" t="str">
        <f>IFERROR(VLOOKUP($V83,#REF!,5,FALSE)," ")</f>
        <v xml:space="preserve"> </v>
      </c>
    </row>
    <row r="96" spans="1:40" ht="15" customHeight="1">
      <c r="A96" s="745">
        <v>5</v>
      </c>
      <c r="B96" s="741"/>
      <c r="C96" s="742"/>
      <c r="D96" s="743">
        <f>SUM(D97:D130)</f>
        <v>811.23862100000008</v>
      </c>
      <c r="E96" s="774">
        <f>SUM(E97:E124)</f>
        <v>140.88</v>
      </c>
      <c r="F96" s="774">
        <f>SUM(F97:F124)</f>
        <v>171.1</v>
      </c>
      <c r="G96" s="774">
        <f>SUM(G97:G124)</f>
        <v>134.43</v>
      </c>
      <c r="H96" s="774">
        <f>SUM(H97:H124)</f>
        <v>164.54999999999998</v>
      </c>
      <c r="I96" s="774">
        <f t="shared" ref="I96:P96" si="11">SUM(I97:I126)</f>
        <v>173.13</v>
      </c>
      <c r="J96" s="774">
        <f t="shared" si="11"/>
        <v>15.58</v>
      </c>
      <c r="K96" s="774">
        <f t="shared" si="11"/>
        <v>91.55</v>
      </c>
      <c r="L96" s="774">
        <f t="shared" si="11"/>
        <v>172.47</v>
      </c>
      <c r="M96" s="774">
        <f t="shared" si="11"/>
        <v>207.43</v>
      </c>
      <c r="N96" s="774">
        <f t="shared" si="11"/>
        <v>129.55325200000001</v>
      </c>
      <c r="O96" s="774">
        <f t="shared" si="11"/>
        <v>190.01563200000001</v>
      </c>
      <c r="P96" s="774">
        <f t="shared" si="11"/>
        <v>216.974568</v>
      </c>
      <c r="Q96" s="793"/>
      <c r="R96" s="755" t="str">
        <f>IFERROR(VLOOKUP(#REF!,[24]Nod!$A$3:$E$993,4,FALSE)," ")</f>
        <v xml:space="preserve"> </v>
      </c>
      <c r="S96" s="755" t="str">
        <f>IFERROR(VLOOKUP(#REF!,[24]Nod!$A$3:$E$993,5,FALSE)," ")</f>
        <v xml:space="preserve"> </v>
      </c>
      <c r="X96" s="717"/>
      <c r="Y96" s="717"/>
      <c r="AJ96" s="717" t="str">
        <f>IFERROR(VLOOKUP(#REF!,#REF!,4,FALSE)," ")</f>
        <v xml:space="preserve"> </v>
      </c>
      <c r="AK96" s="717" t="str">
        <f>IFERROR(VLOOKUP(#REF!,#REF!,5,FALSE)," ")</f>
        <v xml:space="preserve"> </v>
      </c>
    </row>
    <row r="97" spans="1:37" ht="15" customHeight="1">
      <c r="A97" s="750" t="s">
        <v>176</v>
      </c>
      <c r="C97" s="801">
        <v>6010</v>
      </c>
      <c r="D97" s="752">
        <v>5.35</v>
      </c>
      <c r="E97" s="753">
        <v>5.35</v>
      </c>
      <c r="F97" s="753">
        <v>5.35</v>
      </c>
      <c r="G97" s="753">
        <v>5.35</v>
      </c>
      <c r="H97" s="753">
        <v>5.35</v>
      </c>
      <c r="I97" s="753">
        <v>5.35</v>
      </c>
      <c r="J97" s="753">
        <v>5.35</v>
      </c>
      <c r="K97" s="753">
        <v>5.35</v>
      </c>
      <c r="L97" s="753">
        <v>5.35</v>
      </c>
      <c r="M97" s="753">
        <v>5.35</v>
      </c>
      <c r="N97" s="753">
        <v>5.35</v>
      </c>
      <c r="O97" s="753">
        <v>5.35</v>
      </c>
      <c r="P97" s="753">
        <v>5.35</v>
      </c>
      <c r="Q97" s="754">
        <v>0</v>
      </c>
      <c r="R97" s="755" t="str">
        <f>IFERROR(VLOOKUP($C97,[25]Nod!$A$3:$E$992,4,FALSE)," ")</f>
        <v>LSA34</v>
      </c>
      <c r="S97" s="755">
        <f>IFERROR(VLOOKUP($C97,[25]Nod!$A$3:$E$992,5,FALSE)," ")</f>
        <v>5</v>
      </c>
      <c r="X97" s="717"/>
      <c r="Y97" s="717"/>
      <c r="AJ97" s="717" t="str">
        <f>IFERROR(VLOOKUP($V84,#REF!,4,FALSE)," ")</f>
        <v xml:space="preserve"> </v>
      </c>
      <c r="AK97" s="717" t="str">
        <f>IFERROR(VLOOKUP($V84,#REF!,5,FALSE)," ")</f>
        <v xml:space="preserve"> </v>
      </c>
    </row>
    <row r="98" spans="1:37" ht="15" customHeight="1">
      <c r="A98" s="761" t="s">
        <v>459</v>
      </c>
      <c r="C98" s="801">
        <v>6010</v>
      </c>
      <c r="D98" s="752">
        <v>1.31</v>
      </c>
      <c r="E98" s="753">
        <v>1.3100000000000005</v>
      </c>
      <c r="F98" s="753">
        <v>1.3100000000000005</v>
      </c>
      <c r="G98" s="753">
        <v>1.3100000000000005</v>
      </c>
      <c r="H98" s="753">
        <v>1.3100000000000005</v>
      </c>
      <c r="I98" s="753">
        <v>1.3100000000000005</v>
      </c>
      <c r="J98" s="753">
        <v>1.3100000000000005</v>
      </c>
      <c r="K98" s="753">
        <v>1.3100000000000005</v>
      </c>
      <c r="L98" s="753">
        <v>1.3100000000000005</v>
      </c>
      <c r="M98" s="753">
        <v>1.3100000000000005</v>
      </c>
      <c r="N98" s="753">
        <v>1.3100000000000005</v>
      </c>
      <c r="O98" s="753">
        <v>1.3100000000000005</v>
      </c>
      <c r="P98" s="753">
        <v>1.3100000000000005</v>
      </c>
      <c r="Q98" s="814">
        <v>0</v>
      </c>
      <c r="R98" s="755" t="str">
        <f>IFERROR(VLOOKUP($C98,[25]Nod!$A$3:$E$992,4,FALSE)," ")</f>
        <v>LSA34</v>
      </c>
      <c r="S98" s="755">
        <f>IFERROR(VLOOKUP($C98,[25]Nod!$A$3:$E$992,5,FALSE)," ")</f>
        <v>5</v>
      </c>
      <c r="X98" s="717"/>
      <c r="Y98" s="717"/>
      <c r="AJ98" s="717" t="str">
        <f>IFERROR(VLOOKUP($V86,#REF!,4,FALSE)," ")</f>
        <v xml:space="preserve"> </v>
      </c>
      <c r="AK98" s="717" t="str">
        <f>IFERROR(VLOOKUP($V86,#REF!,5,FALSE)," ")</f>
        <v xml:space="preserve"> </v>
      </c>
    </row>
    <row r="99" spans="1:37" ht="15" customHeight="1">
      <c r="A99" s="750" t="s">
        <v>5</v>
      </c>
      <c r="C99" s="801">
        <v>6010</v>
      </c>
      <c r="D99" s="752">
        <v>7</v>
      </c>
      <c r="E99" s="815">
        <v>7</v>
      </c>
      <c r="F99" s="815">
        <v>7</v>
      </c>
      <c r="G99" s="815">
        <v>7</v>
      </c>
      <c r="H99" s="815">
        <v>7</v>
      </c>
      <c r="I99" s="815">
        <v>7</v>
      </c>
      <c r="J99" s="815">
        <v>7</v>
      </c>
      <c r="K99" s="815">
        <v>7</v>
      </c>
      <c r="L99" s="815">
        <v>7</v>
      </c>
      <c r="M99" s="815">
        <v>7</v>
      </c>
      <c r="N99" s="815">
        <v>7</v>
      </c>
      <c r="O99" s="815">
        <v>7</v>
      </c>
      <c r="P99" s="815">
        <v>7</v>
      </c>
      <c r="Q99" s="754">
        <v>0</v>
      </c>
      <c r="R99" s="755" t="str">
        <f>IFERROR(VLOOKUP($C99,[25]Nod!$A$3:$E$992,4,FALSE)," ")</f>
        <v>LSA34</v>
      </c>
      <c r="S99" s="755">
        <f>IFERROR(VLOOKUP($C99,[25]Nod!$A$3:$E$992,5,FALSE)," ")</f>
        <v>5</v>
      </c>
      <c r="X99" s="717"/>
      <c r="Y99" s="717"/>
      <c r="AJ99" s="717" t="str">
        <f>IFERROR(VLOOKUP($V88,#REF!,4,FALSE)," ")</f>
        <v xml:space="preserve"> </v>
      </c>
      <c r="AK99" s="717" t="str">
        <f>IFERROR(VLOOKUP($V88,#REF!,5,FALSE)," ")</f>
        <v xml:space="preserve"> </v>
      </c>
    </row>
    <row r="100" spans="1:37" ht="15" customHeight="1">
      <c r="A100" s="750" t="s">
        <v>460</v>
      </c>
      <c r="C100" s="801">
        <v>6010</v>
      </c>
      <c r="D100" s="752">
        <v>2.0099999999999998</v>
      </c>
      <c r="E100" s="753"/>
      <c r="F100" s="753"/>
      <c r="G100" s="753"/>
      <c r="H100" s="753"/>
      <c r="I100" s="753"/>
      <c r="J100" s="753"/>
      <c r="K100" s="753"/>
      <c r="L100" s="753"/>
      <c r="M100" s="753"/>
      <c r="N100" s="753"/>
      <c r="O100" s="753"/>
      <c r="P100" s="753"/>
      <c r="Q100" s="754">
        <v>13</v>
      </c>
      <c r="R100" s="755" t="str">
        <f>IFERROR(VLOOKUP($C100,[25]Nod!$A$3:$E$992,4,FALSE)," ")</f>
        <v>LSA34</v>
      </c>
      <c r="S100" s="755">
        <f>IFERROR(VLOOKUP($C100,[25]Nod!$A$3:$E$992,5,FALSE)," ")</f>
        <v>5</v>
      </c>
      <c r="X100" s="717"/>
      <c r="Y100" s="717"/>
      <c r="AJ100" s="717"/>
      <c r="AK100" s="717"/>
    </row>
    <row r="101" spans="1:37" ht="15" customHeight="1">
      <c r="A101" s="761" t="s">
        <v>461</v>
      </c>
      <c r="C101" s="801">
        <v>6010</v>
      </c>
      <c r="D101" s="752">
        <v>7.99</v>
      </c>
      <c r="E101" s="753"/>
      <c r="F101" s="753"/>
      <c r="G101" s="753"/>
      <c r="H101" s="753"/>
      <c r="I101" s="753"/>
      <c r="J101" s="753"/>
      <c r="K101" s="753"/>
      <c r="L101" s="753"/>
      <c r="M101" s="753"/>
      <c r="N101" s="753"/>
      <c r="O101" s="753"/>
      <c r="P101" s="753"/>
      <c r="Q101" s="754">
        <v>13</v>
      </c>
      <c r="R101" s="755" t="str">
        <f>IFERROR(VLOOKUP($C101,[25]Nod!$A$3:$E$992,4,FALSE)," ")</f>
        <v>LSA34</v>
      </c>
      <c r="S101" s="755">
        <f>IFERROR(VLOOKUP($C101,[25]Nod!$A$3:$E$992,5,FALSE)," ")</f>
        <v>5</v>
      </c>
      <c r="X101" s="717"/>
      <c r="Y101" s="717"/>
      <c r="AJ101" s="717" t="str">
        <f>IFERROR(VLOOKUP($V90,#REF!,4,FALSE)," ")</f>
        <v xml:space="preserve"> </v>
      </c>
      <c r="AK101" s="717" t="str">
        <f>IFERROR(VLOOKUP($V90,#REF!,5,FALSE)," ")</f>
        <v xml:space="preserve"> </v>
      </c>
    </row>
    <row r="102" spans="1:37" ht="15" customHeight="1">
      <c r="A102" s="750" t="s">
        <v>462</v>
      </c>
      <c r="C102" s="801">
        <v>6010</v>
      </c>
      <c r="D102" s="752">
        <v>10</v>
      </c>
      <c r="E102" s="753"/>
      <c r="F102" s="753"/>
      <c r="G102" s="753"/>
      <c r="H102" s="753"/>
      <c r="I102" s="753"/>
      <c r="J102" s="753"/>
      <c r="K102" s="753"/>
      <c r="L102" s="753"/>
      <c r="M102" s="753"/>
      <c r="N102" s="753"/>
      <c r="O102" s="753"/>
      <c r="P102" s="753"/>
      <c r="Q102" s="754">
        <v>13</v>
      </c>
      <c r="R102" s="755" t="str">
        <f>IFERROR(VLOOKUP($C102,[25]Nod!$A$3:$E$992,4,FALSE)," ")</f>
        <v>LSA34</v>
      </c>
      <c r="S102" s="755">
        <f>IFERROR(VLOOKUP($C102,[25]Nod!$A$3:$E$992,5,FALSE)," ")</f>
        <v>5</v>
      </c>
      <c r="X102" s="717"/>
      <c r="Y102" s="717"/>
      <c r="AJ102" s="717"/>
      <c r="AK102" s="717"/>
    </row>
    <row r="103" spans="1:37" ht="15" customHeight="1">
      <c r="A103" s="750" t="s">
        <v>463</v>
      </c>
      <c r="C103" s="801">
        <v>6010</v>
      </c>
      <c r="D103" s="752">
        <v>0.96</v>
      </c>
      <c r="E103" s="753"/>
      <c r="F103" s="753"/>
      <c r="G103" s="753"/>
      <c r="H103" s="753"/>
      <c r="I103" s="753"/>
      <c r="J103" s="753"/>
      <c r="K103" s="753"/>
      <c r="L103" s="753"/>
      <c r="M103" s="753"/>
      <c r="N103" s="753"/>
      <c r="O103" s="753"/>
      <c r="P103" s="753"/>
      <c r="Q103" s="754">
        <v>13</v>
      </c>
      <c r="R103" s="755" t="str">
        <f>IFERROR(VLOOKUP($C103,[25]Nod!$A$3:$E$992,4,FALSE)," ")</f>
        <v>LSA34</v>
      </c>
      <c r="S103" s="755">
        <f>IFERROR(VLOOKUP($C103,[25]Nod!$A$3:$E$992,5,FALSE)," ")</f>
        <v>5</v>
      </c>
      <c r="X103" s="717"/>
      <c r="Y103" s="717"/>
      <c r="AJ103" s="717"/>
      <c r="AK103" s="717"/>
    </row>
    <row r="104" spans="1:37" ht="15" customHeight="1">
      <c r="A104" s="750" t="s">
        <v>464</v>
      </c>
      <c r="C104" s="801">
        <v>6010</v>
      </c>
      <c r="D104" s="752">
        <v>0.96</v>
      </c>
      <c r="E104" s="753"/>
      <c r="F104" s="753"/>
      <c r="G104" s="753"/>
      <c r="H104" s="753"/>
      <c r="I104" s="753"/>
      <c r="J104" s="753"/>
      <c r="K104" s="753"/>
      <c r="L104" s="753"/>
      <c r="M104" s="753"/>
      <c r="N104" s="753"/>
      <c r="O104" s="753"/>
      <c r="P104" s="753"/>
      <c r="Q104" s="754">
        <v>13</v>
      </c>
      <c r="R104" s="755" t="str">
        <f>IFERROR(VLOOKUP($C104,[25]Nod!$A$3:$E$992,4,FALSE)," ")</f>
        <v>LSA34</v>
      </c>
      <c r="S104" s="755">
        <f>IFERROR(VLOOKUP($C104,[25]Nod!$A$3:$E$992,5,FALSE)," ")</f>
        <v>5</v>
      </c>
      <c r="X104" s="717"/>
      <c r="Y104" s="717"/>
      <c r="AJ104" s="717"/>
      <c r="AK104" s="717"/>
    </row>
    <row r="105" spans="1:37" ht="15" customHeight="1">
      <c r="A105" s="750" t="s">
        <v>465</v>
      </c>
      <c r="C105" s="801">
        <v>6010</v>
      </c>
      <c r="D105" s="752">
        <v>0.48</v>
      </c>
      <c r="E105" s="753"/>
      <c r="F105" s="753"/>
      <c r="G105" s="753"/>
      <c r="H105" s="753"/>
      <c r="I105" s="753"/>
      <c r="J105" s="753"/>
      <c r="K105" s="753"/>
      <c r="L105" s="753"/>
      <c r="M105" s="753"/>
      <c r="N105" s="753"/>
      <c r="O105" s="753"/>
      <c r="P105" s="753"/>
      <c r="Q105" s="754">
        <v>13</v>
      </c>
      <c r="R105" s="755" t="str">
        <f>IFERROR(VLOOKUP($C105,[25]Nod!$A$3:$E$992,4,FALSE)," ")</f>
        <v>LSA34</v>
      </c>
      <c r="S105" s="755">
        <f>IFERROR(VLOOKUP($C105,[25]Nod!$A$3:$E$992,5,FALSE)," ")</f>
        <v>5</v>
      </c>
      <c r="X105" s="717"/>
      <c r="Y105" s="717"/>
      <c r="AJ105" s="717"/>
      <c r="AK105" s="717"/>
    </row>
    <row r="106" spans="1:37" ht="15" customHeight="1">
      <c r="A106" s="750" t="s">
        <v>466</v>
      </c>
      <c r="C106" s="801">
        <v>6010</v>
      </c>
      <c r="D106" s="752">
        <v>8.99</v>
      </c>
      <c r="E106" s="753"/>
      <c r="F106" s="753"/>
      <c r="G106" s="753"/>
      <c r="H106" s="753"/>
      <c r="I106" s="753"/>
      <c r="J106" s="753"/>
      <c r="K106" s="753"/>
      <c r="L106" s="753"/>
      <c r="M106" s="753"/>
      <c r="N106" s="753"/>
      <c r="O106" s="753"/>
      <c r="P106" s="753"/>
      <c r="Q106" s="754">
        <v>13</v>
      </c>
      <c r="R106" s="755" t="str">
        <f>IFERROR(VLOOKUP($C106,[25]Nod!$A$3:$E$992,4,FALSE)," ")</f>
        <v>LSA34</v>
      </c>
      <c r="S106" s="755">
        <f>IFERROR(VLOOKUP($C106,[25]Nod!$A$3:$E$992,5,FALSE)," ")</f>
        <v>5</v>
      </c>
      <c r="X106" s="717"/>
      <c r="Y106" s="717"/>
      <c r="AJ106" s="717" t="str">
        <f>IFERROR(VLOOKUP($V92,#REF!,4,FALSE)," ")</f>
        <v xml:space="preserve"> </v>
      </c>
      <c r="AK106" s="717" t="str">
        <f>IFERROR(VLOOKUP($V92,#REF!,5,FALSE)," ")</f>
        <v xml:space="preserve"> </v>
      </c>
    </row>
    <row r="107" spans="1:37" ht="15" customHeight="1">
      <c r="A107" s="750" t="s">
        <v>467</v>
      </c>
      <c r="C107" s="801">
        <v>6010</v>
      </c>
      <c r="D107" s="752">
        <v>8.99</v>
      </c>
      <c r="E107" s="753"/>
      <c r="F107" s="753"/>
      <c r="G107" s="753"/>
      <c r="H107" s="753"/>
      <c r="I107" s="753"/>
      <c r="J107" s="753"/>
      <c r="K107" s="753"/>
      <c r="L107" s="753"/>
      <c r="M107" s="753"/>
      <c r="N107" s="753"/>
      <c r="O107" s="753"/>
      <c r="P107" s="753"/>
      <c r="Q107" s="754">
        <v>13</v>
      </c>
      <c r="R107" s="755" t="str">
        <f>IFERROR(VLOOKUP($C107,[25]Nod!$A$3:$E$992,4,FALSE)," ")</f>
        <v>LSA34</v>
      </c>
      <c r="S107" s="755">
        <f>IFERROR(VLOOKUP($C107,[25]Nod!$A$3:$E$992,5,FALSE)," ")</f>
        <v>5</v>
      </c>
      <c r="X107" s="717"/>
      <c r="Y107" s="717"/>
      <c r="AJ107" s="717" t="str">
        <f>IFERROR(VLOOKUP($V93,#REF!,4,FALSE)," ")</f>
        <v xml:space="preserve"> </v>
      </c>
      <c r="AK107" s="717" t="str">
        <f>IFERROR(VLOOKUP($V93,#REF!,5,FALSE)," ")</f>
        <v xml:space="preserve"> </v>
      </c>
    </row>
    <row r="108" spans="1:37" ht="15" customHeight="1">
      <c r="A108" s="750" t="s">
        <v>468</v>
      </c>
      <c r="C108" s="801">
        <v>6010</v>
      </c>
      <c r="D108" s="752">
        <v>9.52</v>
      </c>
      <c r="E108" s="753"/>
      <c r="F108" s="753"/>
      <c r="G108" s="753"/>
      <c r="H108" s="753"/>
      <c r="I108" s="753"/>
      <c r="J108" s="753"/>
      <c r="K108" s="753"/>
      <c r="L108" s="753"/>
      <c r="M108" s="753"/>
      <c r="N108" s="753"/>
      <c r="O108" s="753"/>
      <c r="P108" s="753"/>
      <c r="Q108" s="754">
        <v>13</v>
      </c>
      <c r="R108" s="755" t="str">
        <f>IFERROR(VLOOKUP($C108,[25]Nod!$A$3:$E$992,4,FALSE)," ")</f>
        <v>LSA34</v>
      </c>
      <c r="S108" s="755">
        <f>IFERROR(VLOOKUP($C108,[25]Nod!$A$3:$E$992,5,FALSE)," ")</f>
        <v>5</v>
      </c>
      <c r="X108" s="717"/>
      <c r="Y108" s="717"/>
      <c r="AJ108" s="717"/>
      <c r="AK108" s="717"/>
    </row>
    <row r="109" spans="1:37" ht="15" customHeight="1">
      <c r="A109" s="761" t="s">
        <v>469</v>
      </c>
      <c r="C109" s="801">
        <v>6010</v>
      </c>
      <c r="D109" s="752">
        <v>10.78</v>
      </c>
      <c r="E109" s="753"/>
      <c r="F109" s="753"/>
      <c r="G109" s="753"/>
      <c r="H109" s="753"/>
      <c r="I109" s="753"/>
      <c r="J109" s="753"/>
      <c r="K109" s="753"/>
      <c r="L109" s="753"/>
      <c r="M109" s="753"/>
      <c r="N109" s="753"/>
      <c r="O109" s="753"/>
      <c r="P109" s="753"/>
      <c r="Q109" s="754">
        <v>13</v>
      </c>
      <c r="R109" s="755" t="str">
        <f>IFERROR(VLOOKUP($C109,[25]Nod!$A$3:$E$992,4,FALSE)," ")</f>
        <v>LSA34</v>
      </c>
      <c r="S109" s="755">
        <f>IFERROR(VLOOKUP($C109,[25]Nod!$A$3:$E$992,5,FALSE)," ")</f>
        <v>5</v>
      </c>
      <c r="X109" s="717"/>
      <c r="Y109" s="717"/>
      <c r="AJ109" s="717"/>
      <c r="AK109" s="717"/>
    </row>
    <row r="110" spans="1:37" ht="15" customHeight="1">
      <c r="A110" s="761" t="s">
        <v>470</v>
      </c>
      <c r="C110" s="801">
        <v>6010</v>
      </c>
      <c r="D110" s="752">
        <v>8.5</v>
      </c>
      <c r="E110" s="753"/>
      <c r="F110" s="753"/>
      <c r="G110" s="753"/>
      <c r="H110" s="753"/>
      <c r="I110" s="753"/>
      <c r="J110" s="753"/>
      <c r="K110" s="753"/>
      <c r="L110" s="753"/>
      <c r="M110" s="753"/>
      <c r="N110" s="753"/>
      <c r="O110" s="753"/>
      <c r="P110" s="753"/>
      <c r="Q110" s="754">
        <v>13</v>
      </c>
      <c r="R110" s="755" t="str">
        <f>IFERROR(VLOOKUP($C110,[25]Nod!$A$3:$E$992,4,FALSE)," ")</f>
        <v>LSA34</v>
      </c>
      <c r="S110" s="755">
        <f>IFERROR(VLOOKUP($C110,[25]Nod!$A$3:$E$992,5,FALSE)," ")</f>
        <v>5</v>
      </c>
      <c r="X110" s="717"/>
      <c r="Y110" s="717"/>
      <c r="AJ110" s="717" t="str">
        <f>IFERROR(VLOOKUP($V94,#REF!,4,FALSE)," ")</f>
        <v xml:space="preserve"> </v>
      </c>
      <c r="AK110" s="717" t="str">
        <f>IFERROR(VLOOKUP($V94,#REF!,5,FALSE)," ")</f>
        <v xml:space="preserve"> </v>
      </c>
    </row>
    <row r="111" spans="1:37" ht="15" customHeight="1">
      <c r="A111" s="750" t="s">
        <v>471</v>
      </c>
      <c r="C111" s="801">
        <v>6010</v>
      </c>
      <c r="D111" s="752">
        <v>10</v>
      </c>
      <c r="E111" s="753"/>
      <c r="F111" s="753"/>
      <c r="G111" s="753"/>
      <c r="H111" s="753"/>
      <c r="I111" s="753"/>
      <c r="J111" s="753"/>
      <c r="K111" s="753"/>
      <c r="L111" s="753"/>
      <c r="M111" s="753"/>
      <c r="N111" s="753"/>
      <c r="O111" s="753"/>
      <c r="P111" s="753"/>
      <c r="Q111" s="754">
        <v>13</v>
      </c>
      <c r="R111" s="755" t="str">
        <f>IFERROR(VLOOKUP($C111,[25]Nod!$A$3:$E$992,4,FALSE)," ")</f>
        <v>LSA34</v>
      </c>
      <c r="S111" s="755">
        <f>IFERROR(VLOOKUP($C111,[25]Nod!$A$3:$E$992,5,FALSE)," ")</f>
        <v>5</v>
      </c>
      <c r="X111" s="717"/>
      <c r="Y111" s="717"/>
      <c r="AJ111" s="717" t="str">
        <f>IFERROR(VLOOKUP($V95,#REF!,4,FALSE)," ")</f>
        <v xml:space="preserve"> </v>
      </c>
      <c r="AK111" s="717" t="str">
        <f>IFERROR(VLOOKUP($V95,#REF!,5,FALSE)," ")</f>
        <v xml:space="preserve"> </v>
      </c>
    </row>
    <row r="112" spans="1:37" ht="15" customHeight="1">
      <c r="A112" s="750" t="s">
        <v>472</v>
      </c>
      <c r="C112" s="801">
        <v>6010</v>
      </c>
      <c r="D112" s="752">
        <v>10</v>
      </c>
      <c r="E112" s="753"/>
      <c r="F112" s="753"/>
      <c r="G112" s="753"/>
      <c r="H112" s="753"/>
      <c r="I112" s="753"/>
      <c r="J112" s="753"/>
      <c r="K112" s="753"/>
      <c r="L112" s="753"/>
      <c r="M112" s="753"/>
      <c r="N112" s="753"/>
      <c r="O112" s="753"/>
      <c r="P112" s="753"/>
      <c r="Q112" s="754">
        <v>13</v>
      </c>
      <c r="R112" s="755" t="str">
        <f>IFERROR(VLOOKUP($C112,[25]Nod!$A$3:$E$992,4,FALSE)," ")</f>
        <v>LSA34</v>
      </c>
      <c r="S112" s="755">
        <f>IFERROR(VLOOKUP($C112,[25]Nod!$A$3:$E$992,5,FALSE)," ")</f>
        <v>5</v>
      </c>
      <c r="X112" s="717"/>
      <c r="Y112" s="717"/>
      <c r="AJ112" s="717" t="str">
        <f>IFERROR(VLOOKUP($V97,#REF!,4,FALSE)," ")</f>
        <v xml:space="preserve"> </v>
      </c>
      <c r="AK112" s="717" t="str">
        <f>IFERROR(VLOOKUP($V97,#REF!,5,FALSE)," ")</f>
        <v xml:space="preserve"> </v>
      </c>
    </row>
    <row r="113" spans="1:36" ht="15" customHeight="1">
      <c r="A113" s="750" t="s">
        <v>184</v>
      </c>
      <c r="C113" s="751">
        <v>6460</v>
      </c>
      <c r="D113" s="752">
        <v>55</v>
      </c>
      <c r="E113" s="753"/>
      <c r="F113" s="753"/>
      <c r="G113" s="753"/>
      <c r="H113" s="753"/>
      <c r="I113" s="753"/>
      <c r="J113" s="753"/>
      <c r="K113" s="753"/>
      <c r="L113" s="753"/>
      <c r="M113" s="753"/>
      <c r="N113" s="753"/>
      <c r="O113" s="753"/>
      <c r="P113" s="753"/>
      <c r="Q113" s="754">
        <v>13</v>
      </c>
      <c r="R113" s="755" t="str">
        <f>IFERROR(VLOOKUP($C113,[25]Nod!$A$3:$E$992,4,FALSE)," ")</f>
        <v>ECO230</v>
      </c>
      <c r="S113" s="755">
        <f>IFERROR(VLOOKUP($C113,[25]Nod!$A$3:$E$992,5,FALSE)," ")</f>
        <v>5</v>
      </c>
      <c r="X113" s="717"/>
      <c r="Y113" s="717"/>
      <c r="AJ113" s="717" t="str">
        <f>IFERROR(VLOOKUP($V98,#REF!,4,FALSE)," ")</f>
        <v xml:space="preserve"> </v>
      </c>
    </row>
    <row r="114" spans="1:36" ht="15" customHeight="1">
      <c r="A114" s="750" t="s">
        <v>183</v>
      </c>
      <c r="C114" s="751">
        <v>6460</v>
      </c>
      <c r="D114" s="752">
        <v>17.5</v>
      </c>
      <c r="E114" s="753"/>
      <c r="F114" s="753"/>
      <c r="G114" s="753"/>
      <c r="H114" s="753"/>
      <c r="I114" s="753"/>
      <c r="J114" s="753"/>
      <c r="K114" s="753"/>
      <c r="L114" s="753"/>
      <c r="M114" s="753"/>
      <c r="N114" s="753"/>
      <c r="O114" s="753"/>
      <c r="P114" s="753"/>
      <c r="Q114" s="754">
        <v>13</v>
      </c>
      <c r="R114" s="755" t="str">
        <f>IFERROR(VLOOKUP($C114,[25]Nod!$A$3:$E$992,4,FALSE)," ")</f>
        <v>ECO230</v>
      </c>
      <c r="S114" s="755">
        <f>IFERROR(VLOOKUP($C114,[25]Nod!$A$3:$E$992,5,FALSE)," ")</f>
        <v>5</v>
      </c>
      <c r="X114" s="717"/>
      <c r="Y114" s="717"/>
      <c r="AJ114" s="717" t="str">
        <f>IFERROR(VLOOKUP($V102,#REF!,4,FALSE)," ")</f>
        <v xml:space="preserve"> </v>
      </c>
    </row>
    <row r="115" spans="1:36" ht="15" customHeight="1">
      <c r="A115" s="750" t="s">
        <v>473</v>
      </c>
      <c r="C115" s="751">
        <v>6460</v>
      </c>
      <c r="D115" s="752">
        <v>52.5</v>
      </c>
      <c r="E115" s="753"/>
      <c r="F115" s="753"/>
      <c r="G115" s="753"/>
      <c r="H115" s="753"/>
      <c r="I115" s="753"/>
      <c r="J115" s="753"/>
      <c r="K115" s="753"/>
      <c r="L115" s="753"/>
      <c r="M115" s="753"/>
      <c r="N115" s="753"/>
      <c r="O115" s="753"/>
      <c r="P115" s="753"/>
      <c r="Q115" s="754">
        <v>13</v>
      </c>
      <c r="R115" s="755" t="str">
        <f>IFERROR(VLOOKUP($C115,[25]Nod!$A$3:$E$992,4,FALSE)," ")</f>
        <v>ECO230</v>
      </c>
      <c r="S115" s="755">
        <f>IFERROR(VLOOKUP($C115,[25]Nod!$A$3:$E$992,5,FALSE)," ")</f>
        <v>5</v>
      </c>
      <c r="X115" s="717"/>
      <c r="Y115" s="717"/>
      <c r="AJ115" s="717" t="str">
        <f>IFERROR(VLOOKUP($V103,#REF!,4,FALSE)," ")</f>
        <v xml:space="preserve"> </v>
      </c>
    </row>
    <row r="116" spans="1:36" ht="15" customHeight="1">
      <c r="A116" s="750" t="s">
        <v>474</v>
      </c>
      <c r="C116" s="751">
        <v>6460</v>
      </c>
      <c r="D116" s="752">
        <v>62.5</v>
      </c>
      <c r="E116" s="753"/>
      <c r="F116" s="753"/>
      <c r="G116" s="753"/>
      <c r="H116" s="753"/>
      <c r="I116" s="753"/>
      <c r="J116" s="753"/>
      <c r="K116" s="753"/>
      <c r="L116" s="753"/>
      <c r="M116" s="753"/>
      <c r="N116" s="753"/>
      <c r="O116" s="753"/>
      <c r="P116" s="753"/>
      <c r="Q116" s="754">
        <v>13</v>
      </c>
      <c r="R116" s="755" t="str">
        <f>IFERROR(VLOOKUP($C116,[25]Nod!$A$3:$E$992,4,FALSE)," ")</f>
        <v>ECO230</v>
      </c>
      <c r="S116" s="755">
        <f>IFERROR(VLOOKUP($C116,[25]Nod!$A$3:$E$992,5,FALSE)," ")</f>
        <v>5</v>
      </c>
      <c r="X116" s="717"/>
      <c r="Y116" s="717"/>
      <c r="AJ116" s="717" t="str">
        <f>IFERROR(VLOOKUP($V106,#REF!,4,FALSE)," ")</f>
        <v xml:space="preserve"> </v>
      </c>
    </row>
    <row r="117" spans="1:36" ht="15" customHeight="1">
      <c r="A117" s="750" t="s">
        <v>185</v>
      </c>
      <c r="C117" s="751">
        <v>6460</v>
      </c>
      <c r="D117" s="752">
        <v>32.5</v>
      </c>
      <c r="E117" s="753"/>
      <c r="F117" s="753"/>
      <c r="G117" s="753"/>
      <c r="H117" s="753"/>
      <c r="I117" s="753"/>
      <c r="J117" s="753"/>
      <c r="K117" s="753"/>
      <c r="L117" s="753"/>
      <c r="M117" s="753"/>
      <c r="N117" s="753"/>
      <c r="O117" s="753"/>
      <c r="P117" s="753"/>
      <c r="Q117" s="754">
        <v>13</v>
      </c>
      <c r="R117" s="755" t="str">
        <f>IFERROR(VLOOKUP($C117,[25]Nod!$A$3:$E$992,4,FALSE)," ")</f>
        <v>ECO230</v>
      </c>
      <c r="S117" s="755">
        <f>IFERROR(VLOOKUP($C117,[25]Nod!$A$3:$E$992,5,FALSE)," ")</f>
        <v>5</v>
      </c>
      <c r="X117" s="717"/>
      <c r="Y117" s="717"/>
      <c r="AJ117" s="717" t="str">
        <f>IFERROR(VLOOKUP($V107,#REF!,4,FALSE)," ")</f>
        <v xml:space="preserve"> </v>
      </c>
    </row>
    <row r="118" spans="1:36" ht="15" customHeight="1">
      <c r="A118" s="750" t="s">
        <v>475</v>
      </c>
      <c r="B118" s="816"/>
      <c r="C118" s="817">
        <v>6460</v>
      </c>
      <c r="D118" s="752">
        <v>50</v>
      </c>
      <c r="E118" s="783"/>
      <c r="F118" s="783"/>
      <c r="G118" s="783"/>
      <c r="H118" s="783"/>
      <c r="I118" s="783"/>
      <c r="J118" s="783"/>
      <c r="K118" s="783"/>
      <c r="L118" s="783"/>
      <c r="M118" s="783"/>
      <c r="N118" s="783"/>
      <c r="O118" s="783"/>
      <c r="P118" s="783"/>
      <c r="Q118" s="784">
        <v>0</v>
      </c>
      <c r="R118" s="755" t="str">
        <f>IFERROR(VLOOKUP($C118,[25]Nod!$A$3:$E$992,4,FALSE)," ")</f>
        <v>ECO230</v>
      </c>
      <c r="S118" s="755">
        <f>IFERROR(VLOOKUP($C118,[25]Nod!$A$3:$E$992,5,FALSE)," ")</f>
        <v>5</v>
      </c>
      <c r="X118" s="717"/>
      <c r="Y118" s="717"/>
      <c r="AJ118" s="717" t="str">
        <f>IFERROR(VLOOKUP($V109,#REF!,4,FALSE)," ")</f>
        <v xml:space="preserve"> </v>
      </c>
    </row>
    <row r="119" spans="1:36" ht="15" customHeight="1">
      <c r="A119" s="761" t="s">
        <v>476</v>
      </c>
      <c r="C119" s="801">
        <v>6010</v>
      </c>
      <c r="D119" s="752">
        <v>16</v>
      </c>
      <c r="E119" s="753"/>
      <c r="F119" s="753"/>
      <c r="G119" s="753"/>
      <c r="H119" s="753"/>
      <c r="I119" s="753"/>
      <c r="J119" s="753"/>
      <c r="K119" s="753"/>
      <c r="L119" s="753"/>
      <c r="M119" s="753"/>
      <c r="N119" s="753"/>
      <c r="O119" s="753"/>
      <c r="P119" s="753"/>
      <c r="Q119" s="754">
        <v>13</v>
      </c>
      <c r="R119" s="755" t="str">
        <f>IFERROR(VLOOKUP($C119,[25]Nod!$A$3:$E$992,4,FALSE)," ")</f>
        <v>LSA34</v>
      </c>
      <c r="S119" s="755">
        <f>IFERROR(VLOOKUP($C119,[25]Nod!$A$3:$E$992,5,FALSE)," ")</f>
        <v>5</v>
      </c>
      <c r="W119" s="718"/>
      <c r="X119" s="717"/>
      <c r="Y119" s="717"/>
      <c r="AJ119" s="717" t="str">
        <f>IFERROR(VLOOKUP(#REF!,#REF!,4,FALSE)," ")</f>
        <v xml:space="preserve"> </v>
      </c>
    </row>
    <row r="120" spans="1:36" ht="15" customHeight="1">
      <c r="A120" s="761" t="s">
        <v>477</v>
      </c>
      <c r="C120" s="801">
        <v>6010</v>
      </c>
      <c r="D120" s="752">
        <v>4.79</v>
      </c>
      <c r="E120" s="753"/>
      <c r="F120" s="753"/>
      <c r="G120" s="753"/>
      <c r="H120" s="753"/>
      <c r="I120" s="753"/>
      <c r="J120" s="753"/>
      <c r="K120" s="753"/>
      <c r="L120" s="753"/>
      <c r="M120" s="753"/>
      <c r="N120" s="753"/>
      <c r="O120" s="753"/>
      <c r="P120" s="753"/>
      <c r="Q120" s="754">
        <v>13</v>
      </c>
      <c r="R120" s="755" t="str">
        <f>IFERROR(VLOOKUP($C120,[25]Nod!$A$3:$E$992,4,FALSE)," ")</f>
        <v>LSA34</v>
      </c>
      <c r="S120" s="755">
        <f>IFERROR(VLOOKUP($C120,[25]Nod!$A$3:$E$992,5,FALSE)," ")</f>
        <v>5</v>
      </c>
      <c r="W120" s="718"/>
      <c r="X120" s="717"/>
      <c r="Y120" s="717"/>
      <c r="AJ120" s="717" t="str">
        <f>IFERROR(VLOOKUP($V112,#REF!,4,FALSE)," ")</f>
        <v xml:space="preserve"> </v>
      </c>
    </row>
    <row r="121" spans="1:36" ht="15" customHeight="1">
      <c r="A121" s="761" t="s">
        <v>420</v>
      </c>
      <c r="C121" s="801">
        <v>6008</v>
      </c>
      <c r="D121" s="752">
        <f>AVERAGE(E121:P121)</f>
        <v>136.978621</v>
      </c>
      <c r="E121" s="818">
        <v>127.22</v>
      </c>
      <c r="F121" s="818">
        <v>157.44</v>
      </c>
      <c r="G121" s="818">
        <v>120.77</v>
      </c>
      <c r="H121" s="818">
        <v>150.88999999999999</v>
      </c>
      <c r="I121" s="818">
        <v>159.47</v>
      </c>
      <c r="J121" s="818">
        <v>1.92</v>
      </c>
      <c r="K121" s="818">
        <v>77.89</v>
      </c>
      <c r="L121" s="818">
        <v>158.81</v>
      </c>
      <c r="M121" s="818">
        <v>193.77</v>
      </c>
      <c r="N121" s="818">
        <v>115.893252</v>
      </c>
      <c r="O121" s="818">
        <v>176.35563200000001</v>
      </c>
      <c r="P121" s="818">
        <v>203.31456800000001</v>
      </c>
      <c r="Q121" s="754">
        <v>0</v>
      </c>
      <c r="R121" s="755" t="str">
        <f>IFERROR(VLOOKUP($C121,[25]Nod!$A$3:$E$992,4,FALSE)," ")</f>
        <v>LSA230</v>
      </c>
      <c r="S121" s="755">
        <f>IFERROR(VLOOKUP($C121,[25]Nod!$A$3:$E$992,5,FALSE)," ")</f>
        <v>5</v>
      </c>
      <c r="W121" s="718"/>
      <c r="X121" s="717"/>
      <c r="Y121" s="717"/>
      <c r="AJ121" s="717" t="str">
        <f>IFERROR(VLOOKUP(#REF!,#REF!,4,FALSE)," ")</f>
        <v xml:space="preserve"> </v>
      </c>
    </row>
    <row r="122" spans="1:36" ht="15" customHeight="1">
      <c r="A122" s="761" t="s">
        <v>478</v>
      </c>
      <c r="C122" s="801">
        <v>6010</v>
      </c>
      <c r="D122" s="752">
        <v>9.99</v>
      </c>
      <c r="E122" s="753"/>
      <c r="F122" s="753"/>
      <c r="G122" s="753"/>
      <c r="H122" s="819"/>
      <c r="I122" s="819"/>
      <c r="J122" s="753"/>
      <c r="K122" s="753"/>
      <c r="L122" s="753"/>
      <c r="M122" s="753"/>
      <c r="N122" s="753"/>
      <c r="O122" s="753"/>
      <c r="P122" s="753"/>
      <c r="Q122" s="754">
        <v>0</v>
      </c>
      <c r="R122" s="755" t="str">
        <f>IFERROR(VLOOKUP($C122,[25]Nod!$A$3:$E$992,4,FALSE)," ")</f>
        <v>LSA34</v>
      </c>
      <c r="S122" s="755">
        <f>IFERROR(VLOOKUP($C122,[25]Nod!$A$3:$E$992,5,FALSE)," ")</f>
        <v>5</v>
      </c>
      <c r="W122" s="718"/>
      <c r="X122" s="717"/>
      <c r="Y122" s="717"/>
      <c r="AJ122" s="717" t="str">
        <f>IFERROR(VLOOKUP($V117,#REF!,4,FALSE)," ")</f>
        <v xml:space="preserve"> </v>
      </c>
    </row>
    <row r="123" spans="1:36" ht="15" customHeight="1">
      <c r="A123" s="761" t="s">
        <v>479</v>
      </c>
      <c r="C123" s="820">
        <v>6010</v>
      </c>
      <c r="D123" s="752">
        <v>5</v>
      </c>
      <c r="E123" s="753"/>
      <c r="F123" s="753"/>
      <c r="G123" s="753"/>
      <c r="H123" s="753"/>
      <c r="I123" s="753"/>
      <c r="J123" s="753"/>
      <c r="K123" s="753"/>
      <c r="L123" s="753"/>
      <c r="M123" s="753"/>
      <c r="N123" s="753"/>
      <c r="O123" s="753"/>
      <c r="P123" s="753"/>
      <c r="Q123" s="754">
        <v>0</v>
      </c>
      <c r="R123" s="755" t="str">
        <f>IFERROR(VLOOKUP($C123,[25]Nod!$A$3:$E$992,4,FALSE)," ")</f>
        <v>LSA34</v>
      </c>
      <c r="S123" s="755">
        <f>IFERROR(VLOOKUP($C123,[25]Nod!$A$3:$E$992,5,FALSE)," ")</f>
        <v>5</v>
      </c>
      <c r="W123" s="718"/>
      <c r="X123" s="717"/>
      <c r="Y123" s="717"/>
      <c r="AJ123" s="717" t="str">
        <f>IFERROR(VLOOKUP(#REF!,#REF!,4,FALSE)," ")</f>
        <v xml:space="preserve"> </v>
      </c>
    </row>
    <row r="124" spans="1:36" ht="15" customHeight="1">
      <c r="A124" s="761" t="s">
        <v>480</v>
      </c>
      <c r="C124" s="820">
        <v>6010</v>
      </c>
      <c r="D124" s="752">
        <v>120</v>
      </c>
      <c r="E124" s="753"/>
      <c r="F124" s="753"/>
      <c r="G124" s="753"/>
      <c r="H124" s="753"/>
      <c r="I124" s="753"/>
      <c r="J124" s="753"/>
      <c r="K124" s="753"/>
      <c r="L124" s="753"/>
      <c r="M124" s="753"/>
      <c r="N124" s="753"/>
      <c r="O124" s="753"/>
      <c r="P124" s="753"/>
      <c r="Q124" s="754">
        <v>0</v>
      </c>
      <c r="R124" s="755" t="str">
        <f>IFERROR(VLOOKUP($C124,[25]Nod!$A$3:$E$992,4,FALSE)," ")</f>
        <v>LSA34</v>
      </c>
      <c r="S124" s="755">
        <f>IFERROR(VLOOKUP($C124,[25]Nod!$A$3:$E$992,5,FALSE)," ")</f>
        <v>5</v>
      </c>
      <c r="W124" s="718"/>
      <c r="X124" s="717"/>
      <c r="Y124" s="717"/>
      <c r="AJ124" s="717"/>
    </row>
    <row r="125" spans="1:36" ht="15" customHeight="1">
      <c r="A125" s="761" t="s">
        <v>481</v>
      </c>
      <c r="C125" s="820">
        <v>6010</v>
      </c>
      <c r="D125" s="807">
        <v>10</v>
      </c>
      <c r="E125" s="753"/>
      <c r="F125" s="753"/>
      <c r="G125" s="753"/>
      <c r="H125" s="753"/>
      <c r="I125" s="753"/>
      <c r="J125" s="753"/>
      <c r="K125" s="753"/>
      <c r="L125" s="753"/>
      <c r="M125" s="753"/>
      <c r="N125" s="753"/>
      <c r="O125" s="753"/>
      <c r="P125" s="753"/>
      <c r="Q125" s="754">
        <v>0</v>
      </c>
      <c r="R125" s="755" t="str">
        <f>IFERROR(VLOOKUP($C125,[25]Nod!$A$3:$E$992,4,FALSE)," ")</f>
        <v>LSA34</v>
      </c>
      <c r="S125" s="755">
        <f>IFERROR(VLOOKUP($C125,[25]Nod!$A$3:$E$992,5,FALSE)," ")</f>
        <v>5</v>
      </c>
      <c r="W125" s="718"/>
      <c r="X125" s="717"/>
      <c r="Y125" s="717"/>
      <c r="AJ125" s="717" t="str">
        <f>IFERROR(VLOOKUP($V118,#REF!,4,FALSE)," ")</f>
        <v xml:space="preserve"> </v>
      </c>
    </row>
    <row r="126" spans="1:36" ht="15" customHeight="1">
      <c r="A126" s="761" t="s">
        <v>482</v>
      </c>
      <c r="C126" s="820">
        <v>6010</v>
      </c>
      <c r="D126" s="807">
        <v>10</v>
      </c>
      <c r="E126" s="753"/>
      <c r="F126" s="753"/>
      <c r="G126" s="753"/>
      <c r="H126" s="753"/>
      <c r="I126" s="753"/>
      <c r="J126" s="753"/>
      <c r="K126" s="753"/>
      <c r="L126" s="753"/>
      <c r="M126" s="753"/>
      <c r="N126" s="753"/>
      <c r="O126" s="753"/>
      <c r="P126" s="753"/>
      <c r="Q126" s="754">
        <v>0</v>
      </c>
      <c r="R126" s="755" t="str">
        <f>IFERROR(VLOOKUP($C126,[25]Nod!$A$3:$E$992,4,FALSE)," ")</f>
        <v>LSA34</v>
      </c>
      <c r="S126" s="755">
        <f>IFERROR(VLOOKUP($C126,[25]Nod!$A$3:$E$992,5,FALSE)," ")</f>
        <v>5</v>
      </c>
      <c r="W126" s="718"/>
      <c r="X126" s="717"/>
      <c r="Y126" s="717"/>
      <c r="AJ126" s="717" t="str">
        <f>IFERROR(VLOOKUP(#REF!,#REF!,4,FALSE)," ")</f>
        <v xml:space="preserve"> </v>
      </c>
    </row>
    <row r="127" spans="1:36" ht="15" customHeight="1">
      <c r="A127" s="761" t="s">
        <v>483</v>
      </c>
      <c r="B127" s="538"/>
      <c r="C127" s="820">
        <v>6010</v>
      </c>
      <c r="D127" s="807">
        <v>10</v>
      </c>
      <c r="E127" s="783"/>
      <c r="F127" s="783"/>
      <c r="G127" s="783"/>
      <c r="H127" s="783"/>
      <c r="I127" s="783"/>
      <c r="J127" s="783"/>
      <c r="K127" s="783"/>
      <c r="L127" s="783"/>
      <c r="M127" s="783"/>
      <c r="N127" s="783"/>
      <c r="O127" s="783"/>
      <c r="P127" s="783"/>
      <c r="Q127" s="784">
        <v>0</v>
      </c>
      <c r="R127" s="755" t="str">
        <f>IFERROR(VLOOKUP($C127,[25]Nod!$A$3:$E$992,4,FALSE)," ")</f>
        <v>LSA34</v>
      </c>
      <c r="S127" s="755">
        <f>IFERROR(VLOOKUP($C127,[25]Nod!$A$3:$E$992,5,FALSE)," ")</f>
        <v>5</v>
      </c>
      <c r="W127" s="718"/>
      <c r="X127" s="717"/>
      <c r="Y127" s="717"/>
      <c r="AJ127" s="717" t="str">
        <f>IFERROR(VLOOKUP(#REF!,#REF!,4,FALSE)," ")</f>
        <v xml:space="preserve"> </v>
      </c>
    </row>
    <row r="128" spans="1:36" ht="15" customHeight="1">
      <c r="A128" s="761" t="s">
        <v>484</v>
      </c>
      <c r="B128" s="538"/>
      <c r="C128" s="820">
        <v>6010</v>
      </c>
      <c r="D128" s="821">
        <v>3.24</v>
      </c>
      <c r="E128" s="783"/>
      <c r="F128" s="783"/>
      <c r="G128" s="783"/>
      <c r="H128" s="783"/>
      <c r="I128" s="783"/>
      <c r="J128" s="783"/>
      <c r="K128" s="783"/>
      <c r="L128" s="783"/>
      <c r="M128" s="783"/>
      <c r="N128" s="783"/>
      <c r="O128" s="783"/>
      <c r="P128" s="783"/>
      <c r="Q128" s="784">
        <v>13</v>
      </c>
      <c r="R128" s="755" t="str">
        <f>IFERROR(VLOOKUP($C128,[25]Nod!$A$3:$E$992,4,FALSE)," ")</f>
        <v>LSA34</v>
      </c>
      <c r="S128" s="755">
        <f>IFERROR(VLOOKUP($C128,[25]Nod!$A$3:$E$992,5,FALSE)," ")</f>
        <v>5</v>
      </c>
      <c r="W128" s="718"/>
      <c r="X128" s="717"/>
      <c r="Y128" s="717"/>
    </row>
    <row r="129" spans="1:25" ht="15" customHeight="1">
      <c r="A129" s="761" t="s">
        <v>485</v>
      </c>
      <c r="B129" s="538"/>
      <c r="C129" s="820">
        <v>6010</v>
      </c>
      <c r="D129" s="821">
        <v>2.4</v>
      </c>
      <c r="E129" s="783"/>
      <c r="F129" s="783"/>
      <c r="G129" s="783"/>
      <c r="H129" s="783"/>
      <c r="I129" s="783"/>
      <c r="J129" s="783"/>
      <c r="K129" s="783"/>
      <c r="L129" s="783"/>
      <c r="M129" s="783"/>
      <c r="N129" s="783"/>
      <c r="O129" s="783"/>
      <c r="P129" s="783"/>
      <c r="Q129" s="822">
        <v>13</v>
      </c>
      <c r="R129" s="755" t="str">
        <f>IFERROR(VLOOKUP($C129,[25]Nod!$A$3:$E$992,4,FALSE)," ")</f>
        <v>LSA34</v>
      </c>
      <c r="S129" s="755">
        <f>IFERROR(VLOOKUP($C129,[25]Nod!$A$3:$E$992,5,FALSE)," ")</f>
        <v>5</v>
      </c>
      <c r="W129" s="718"/>
      <c r="X129" s="717"/>
      <c r="Y129" s="717"/>
    </row>
    <row r="130" spans="1:25" ht="15" customHeight="1">
      <c r="A130" s="761" t="s">
        <v>486</v>
      </c>
      <c r="B130" s="538"/>
      <c r="C130" s="820">
        <v>6010</v>
      </c>
      <c r="D130" s="807">
        <v>110</v>
      </c>
      <c r="E130" s="783"/>
      <c r="F130" s="783"/>
      <c r="G130" s="783"/>
      <c r="H130" s="783"/>
      <c r="I130" s="783"/>
      <c r="J130" s="783"/>
      <c r="K130" s="783"/>
      <c r="L130" s="783"/>
      <c r="M130" s="783"/>
      <c r="N130" s="783"/>
      <c r="O130" s="783"/>
      <c r="P130" s="783"/>
      <c r="Q130" s="822">
        <v>0</v>
      </c>
      <c r="R130" s="755" t="str">
        <f>IFERROR(VLOOKUP($C130,[25]Nod!$A$3:$E$992,4,FALSE)," ")</f>
        <v>LSA34</v>
      </c>
      <c r="S130" s="755">
        <f>IFERROR(VLOOKUP($C130,[25]Nod!$A$3:$E$992,5,FALSE)," ")</f>
        <v>5</v>
      </c>
      <c r="W130" s="718"/>
      <c r="X130" s="717"/>
      <c r="Y130" s="717"/>
    </row>
    <row r="131" spans="1:25" ht="15" customHeight="1">
      <c r="A131" s="750" t="s">
        <v>487</v>
      </c>
      <c r="B131" s="538"/>
      <c r="C131" s="820">
        <v>6010</v>
      </c>
      <c r="D131" s="807"/>
      <c r="E131" s="783"/>
      <c r="F131" s="783"/>
      <c r="G131" s="783"/>
      <c r="H131" s="783"/>
      <c r="I131" s="783"/>
      <c r="J131" s="783"/>
      <c r="K131" s="783"/>
      <c r="L131" s="783"/>
      <c r="M131" s="783"/>
      <c r="N131" s="783"/>
      <c r="O131" s="783"/>
      <c r="P131" s="783"/>
      <c r="Q131" s="822"/>
      <c r="R131" s="755" t="str">
        <f>IFERROR(VLOOKUP($C131,[25]Nod!$A$3:$E$992,4,FALSE)," ")</f>
        <v>LSA34</v>
      </c>
      <c r="S131" s="755">
        <f>IFERROR(VLOOKUP($C131,[25]Nod!$A$3:$E$992,5,FALSE)," ")</f>
        <v>5</v>
      </c>
    </row>
    <row r="132" spans="1:25" ht="15" customHeight="1">
      <c r="A132" s="750" t="s">
        <v>488</v>
      </c>
      <c r="B132" s="538"/>
      <c r="C132" s="820">
        <v>6010</v>
      </c>
      <c r="D132" s="807"/>
      <c r="E132" s="783"/>
      <c r="F132" s="783"/>
      <c r="G132" s="783"/>
      <c r="H132" s="783"/>
      <c r="I132" s="783"/>
      <c r="J132" s="783"/>
      <c r="K132" s="783"/>
      <c r="L132" s="783"/>
      <c r="M132" s="783"/>
      <c r="N132" s="783"/>
      <c r="O132" s="783"/>
      <c r="P132" s="783"/>
      <c r="Q132" s="822"/>
      <c r="R132" s="755" t="str">
        <f>IFERROR(VLOOKUP($C132,[25]Nod!$A$3:$E$992,4,FALSE)," ")</f>
        <v>LSA34</v>
      </c>
      <c r="S132" s="755">
        <f>IFERROR(VLOOKUP($C132,[25]Nod!$A$3:$E$992,5,FALSE)," ")</f>
        <v>5</v>
      </c>
    </row>
    <row r="133" spans="1:25" ht="15" customHeight="1">
      <c r="A133" s="750" t="s">
        <v>489</v>
      </c>
      <c r="B133" s="538"/>
      <c r="C133" s="820">
        <v>6010</v>
      </c>
      <c r="D133" s="807"/>
      <c r="E133" s="783"/>
      <c r="F133" s="783"/>
      <c r="G133" s="783"/>
      <c r="H133" s="783"/>
      <c r="I133" s="783"/>
      <c r="J133" s="783"/>
      <c r="K133" s="783"/>
      <c r="L133" s="783"/>
      <c r="M133" s="783"/>
      <c r="N133" s="783"/>
      <c r="O133" s="783"/>
      <c r="P133" s="783"/>
      <c r="Q133" s="822"/>
      <c r="R133" s="755" t="str">
        <f>IFERROR(VLOOKUP($C133,[25]Nod!$A$3:$E$992,4,FALSE)," ")</f>
        <v>LSA34</v>
      </c>
      <c r="S133" s="755">
        <f>IFERROR(VLOOKUP($C133,[25]Nod!$A$3:$E$992,5,FALSE)," ")</f>
        <v>5</v>
      </c>
    </row>
    <row r="134" spans="1:25" ht="15" customHeight="1">
      <c r="A134" s="750" t="s">
        <v>490</v>
      </c>
      <c r="B134" s="538"/>
      <c r="C134" s="820">
        <v>6010</v>
      </c>
      <c r="D134" s="807"/>
      <c r="E134" s="783"/>
      <c r="F134" s="783"/>
      <c r="G134" s="783"/>
      <c r="H134" s="783"/>
      <c r="I134" s="783"/>
      <c r="J134" s="783"/>
      <c r="K134" s="783"/>
      <c r="L134" s="783"/>
      <c r="M134" s="783"/>
      <c r="N134" s="783"/>
      <c r="O134" s="783"/>
      <c r="P134" s="783"/>
      <c r="Q134" s="822"/>
      <c r="R134" s="755" t="str">
        <f>IFERROR(VLOOKUP($C134,[25]Nod!$A$3:$E$992,4,FALSE)," ")</f>
        <v>LSA34</v>
      </c>
      <c r="S134" s="755">
        <f>IFERROR(VLOOKUP($C134,[25]Nod!$A$3:$E$992,5,FALSE)," ")</f>
        <v>5</v>
      </c>
    </row>
    <row r="135" spans="1:25" ht="15" customHeight="1">
      <c r="A135" s="750" t="s">
        <v>491</v>
      </c>
      <c r="B135" s="538"/>
      <c r="C135" s="820">
        <v>6010</v>
      </c>
      <c r="D135" s="807"/>
      <c r="E135" s="783"/>
      <c r="F135" s="783"/>
      <c r="G135" s="783"/>
      <c r="H135" s="783"/>
      <c r="I135" s="783"/>
      <c r="J135" s="783"/>
      <c r="K135" s="783"/>
      <c r="L135" s="783"/>
      <c r="M135" s="783"/>
      <c r="N135" s="783"/>
      <c r="O135" s="783"/>
      <c r="P135" s="783"/>
      <c r="Q135" s="822"/>
      <c r="R135" s="755" t="str">
        <f>IFERROR(VLOOKUP($C135,[25]Nod!$A$3:$E$992,4,FALSE)," ")</f>
        <v>LSA34</v>
      </c>
      <c r="S135" s="755">
        <f>IFERROR(VLOOKUP($C135,[25]Nod!$A$3:$E$992,5,FALSE)," ")</f>
        <v>5</v>
      </c>
    </row>
    <row r="136" spans="1:25" ht="15" customHeight="1">
      <c r="A136" s="750" t="s">
        <v>492</v>
      </c>
      <c r="B136" s="538"/>
      <c r="C136" s="820">
        <v>6010</v>
      </c>
      <c r="D136" s="807"/>
      <c r="E136" s="783"/>
      <c r="F136" s="783"/>
      <c r="G136" s="783"/>
      <c r="H136" s="783"/>
      <c r="I136" s="783"/>
      <c r="J136" s="783"/>
      <c r="K136" s="783"/>
      <c r="L136" s="783"/>
      <c r="M136" s="783"/>
      <c r="N136" s="783"/>
      <c r="O136" s="783"/>
      <c r="P136" s="783"/>
      <c r="Q136" s="822"/>
      <c r="R136" s="755" t="str">
        <f>IFERROR(VLOOKUP($C136,[25]Nod!$A$3:$E$992,4,FALSE)," ")</f>
        <v>LSA34</v>
      </c>
      <c r="S136" s="755">
        <f>IFERROR(VLOOKUP($C136,[25]Nod!$A$3:$E$992,5,FALSE)," ")</f>
        <v>5</v>
      </c>
    </row>
    <row r="137" spans="1:25" ht="15" customHeight="1">
      <c r="A137" s="750" t="s">
        <v>493</v>
      </c>
      <c r="B137" s="538"/>
      <c r="C137" s="820">
        <v>6010</v>
      </c>
      <c r="D137" s="807"/>
      <c r="E137" s="783"/>
      <c r="F137" s="783"/>
      <c r="G137" s="783"/>
      <c r="H137" s="783"/>
      <c r="I137" s="783"/>
      <c r="J137" s="783"/>
      <c r="K137" s="783"/>
      <c r="L137" s="783"/>
      <c r="M137" s="783"/>
      <c r="N137" s="783"/>
      <c r="O137" s="783"/>
      <c r="P137" s="783"/>
      <c r="Q137" s="822"/>
      <c r="R137" s="755" t="str">
        <f>IFERROR(VLOOKUP($C137,[25]Nod!$A$3:$E$992,4,FALSE)," ")</f>
        <v>LSA34</v>
      </c>
      <c r="S137" s="755">
        <f>IFERROR(VLOOKUP($C137,[25]Nod!$A$3:$E$992,5,FALSE)," ")</f>
        <v>5</v>
      </c>
    </row>
    <row r="138" spans="1:25" ht="15" customHeight="1">
      <c r="A138" s="750" t="s">
        <v>494</v>
      </c>
      <c r="B138" s="538"/>
      <c r="C138" s="820">
        <v>6010</v>
      </c>
      <c r="D138" s="807"/>
      <c r="E138" s="783"/>
      <c r="F138" s="783"/>
      <c r="G138" s="783"/>
      <c r="H138" s="783"/>
      <c r="I138" s="783"/>
      <c r="J138" s="783"/>
      <c r="K138" s="783"/>
      <c r="L138" s="783"/>
      <c r="M138" s="783"/>
      <c r="N138" s="783"/>
      <c r="O138" s="783"/>
      <c r="P138" s="783"/>
      <c r="Q138" s="822"/>
      <c r="R138" s="755" t="str">
        <f>IFERROR(VLOOKUP($C138,[25]Nod!$A$3:$E$992,4,FALSE)," ")</f>
        <v>LSA34</v>
      </c>
      <c r="S138" s="755">
        <f>IFERROR(VLOOKUP($C138,[25]Nod!$A$3:$E$992,5,FALSE)," ")</f>
        <v>5</v>
      </c>
    </row>
    <row r="139" spans="1:25" ht="15" customHeight="1">
      <c r="A139" s="750" t="s">
        <v>495</v>
      </c>
      <c r="B139" s="538"/>
      <c r="C139" s="820">
        <v>6240</v>
      </c>
      <c r="D139" s="807"/>
      <c r="E139" s="783"/>
      <c r="F139" s="783"/>
      <c r="G139" s="783"/>
      <c r="H139" s="783"/>
      <c r="I139" s="783"/>
      <c r="J139" s="783"/>
      <c r="K139" s="783"/>
      <c r="L139" s="783"/>
      <c r="M139" s="783"/>
      <c r="N139" s="783"/>
      <c r="O139" s="783"/>
      <c r="P139" s="783"/>
      <c r="Q139" s="822"/>
      <c r="R139" s="755" t="str">
        <f>IFERROR(VLOOKUP($C139,[25]Nod!$A$3:$E$992,4,FALSE)," ")</f>
        <v>EHIG230</v>
      </c>
      <c r="S139" s="755">
        <f>IFERROR(VLOOKUP($C139,[25]Nod!$A$3:$E$992,5,FALSE)," ")</f>
        <v>6</v>
      </c>
    </row>
    <row r="140" spans="1:25" ht="15" customHeight="1">
      <c r="A140" s="750" t="s">
        <v>496</v>
      </c>
      <c r="B140" s="538"/>
      <c r="C140" s="820">
        <v>6010</v>
      </c>
      <c r="D140" s="807"/>
      <c r="E140" s="783"/>
      <c r="F140" s="783"/>
      <c r="G140" s="783"/>
      <c r="H140" s="783"/>
      <c r="I140" s="783"/>
      <c r="J140" s="783"/>
      <c r="K140" s="783"/>
      <c r="L140" s="783"/>
      <c r="M140" s="783"/>
      <c r="N140" s="783"/>
      <c r="O140" s="783"/>
      <c r="P140" s="783"/>
      <c r="Q140" s="822"/>
      <c r="R140" s="755" t="str">
        <f>IFERROR(VLOOKUP($C140,[25]Nod!$A$3:$E$992,4,FALSE)," ")</f>
        <v>LSA34</v>
      </c>
      <c r="S140" s="755">
        <f>IFERROR(VLOOKUP($C140,[25]Nod!$A$3:$E$992,5,FALSE)," ")</f>
        <v>5</v>
      </c>
    </row>
    <row r="141" spans="1:25" ht="15" customHeight="1">
      <c r="A141" s="750" t="s">
        <v>497</v>
      </c>
      <c r="B141" s="538"/>
      <c r="C141" s="820">
        <v>6010</v>
      </c>
      <c r="D141" s="807"/>
      <c r="E141" s="783"/>
      <c r="F141" s="783"/>
      <c r="G141" s="783"/>
      <c r="H141" s="783"/>
      <c r="I141" s="783"/>
      <c r="J141" s="783"/>
      <c r="K141" s="783"/>
      <c r="L141" s="783"/>
      <c r="M141" s="783"/>
      <c r="N141" s="783"/>
      <c r="O141" s="783"/>
      <c r="P141" s="783"/>
      <c r="Q141" s="822"/>
      <c r="R141" s="755" t="str">
        <f>IFERROR(VLOOKUP($C141,[25]Nod!$A$3:$E$992,4,FALSE)," ")</f>
        <v>LSA34</v>
      </c>
      <c r="S141" s="755">
        <f>IFERROR(VLOOKUP($C141,[25]Nod!$A$3:$E$992,5,FALSE)," ")</f>
        <v>5</v>
      </c>
    </row>
    <row r="142" spans="1:25" ht="15" customHeight="1">
      <c r="A142" s="750" t="s">
        <v>498</v>
      </c>
      <c r="B142" s="538"/>
      <c r="C142" s="820">
        <v>6240</v>
      </c>
      <c r="D142" s="807"/>
      <c r="E142" s="783"/>
      <c r="F142" s="783"/>
      <c r="G142" s="783"/>
      <c r="H142" s="783"/>
      <c r="I142" s="783"/>
      <c r="J142" s="783"/>
      <c r="K142" s="783"/>
      <c r="L142" s="783"/>
      <c r="M142" s="783"/>
      <c r="N142" s="783"/>
      <c r="O142" s="783"/>
      <c r="P142" s="783"/>
      <c r="Q142" s="822"/>
      <c r="R142" s="755" t="str">
        <f>IFERROR(VLOOKUP($C142,[25]Nod!$A$3:$E$992,4,FALSE)," ")</f>
        <v>EHIG230</v>
      </c>
      <c r="S142" s="755">
        <f>IFERROR(VLOOKUP($C142,[25]Nod!$A$3:$E$992,5,FALSE)," ")</f>
        <v>6</v>
      </c>
    </row>
    <row r="143" spans="1:25" ht="15" customHeight="1">
      <c r="A143" s="750" t="s">
        <v>499</v>
      </c>
      <c r="B143" s="538"/>
      <c r="C143" s="820">
        <v>6010</v>
      </c>
      <c r="D143" s="807"/>
      <c r="E143" s="783"/>
      <c r="F143" s="783"/>
      <c r="G143" s="783"/>
      <c r="H143" s="783"/>
      <c r="I143" s="783"/>
      <c r="J143" s="783"/>
      <c r="K143" s="783"/>
      <c r="L143" s="783"/>
      <c r="M143" s="783"/>
      <c r="N143" s="783"/>
      <c r="O143" s="783"/>
      <c r="P143" s="783"/>
      <c r="Q143" s="822"/>
      <c r="R143" s="755" t="str">
        <f>IFERROR(VLOOKUP($C143,[25]Nod!$A$3:$E$992,4,FALSE)," ")</f>
        <v>LSA34</v>
      </c>
      <c r="S143" s="755">
        <f>IFERROR(VLOOKUP($C143,[25]Nod!$A$3:$E$992,5,FALSE)," ")</f>
        <v>5</v>
      </c>
    </row>
    <row r="144" spans="1:25" ht="15" customHeight="1">
      <c r="A144" s="761" t="s">
        <v>151</v>
      </c>
      <c r="C144" s="765"/>
      <c r="D144" s="765"/>
      <c r="E144" s="797"/>
      <c r="F144" s="797"/>
      <c r="G144" s="797"/>
      <c r="H144" s="797"/>
      <c r="I144" s="797"/>
      <c r="J144" s="797"/>
      <c r="K144" s="797"/>
      <c r="L144" s="797"/>
      <c r="M144" s="797"/>
      <c r="N144" s="797"/>
      <c r="O144" s="797"/>
      <c r="P144" s="797"/>
      <c r="Q144" s="797"/>
      <c r="R144" s="755"/>
      <c r="S144" s="755"/>
    </row>
    <row r="145" spans="1:19" ht="15" customHeight="1">
      <c r="A145" s="785">
        <v>6</v>
      </c>
      <c r="B145" s="772"/>
      <c r="C145" s="773"/>
      <c r="D145" s="774">
        <f>SUM(D146:D150)</f>
        <v>155.76000000000002</v>
      </c>
      <c r="E145" s="774">
        <f t="shared" ref="E145:P145" si="12">SUM(E146:E147)</f>
        <v>147</v>
      </c>
      <c r="F145" s="774">
        <f t="shared" si="12"/>
        <v>147</v>
      </c>
      <c r="G145" s="774">
        <f t="shared" si="12"/>
        <v>147</v>
      </c>
      <c r="H145" s="774">
        <f t="shared" si="12"/>
        <v>147</v>
      </c>
      <c r="I145" s="774">
        <f t="shared" si="12"/>
        <v>147</v>
      </c>
      <c r="J145" s="774">
        <f t="shared" si="12"/>
        <v>148</v>
      </c>
      <c r="K145" s="774">
        <f t="shared" si="12"/>
        <v>148</v>
      </c>
      <c r="L145" s="774">
        <f t="shared" si="12"/>
        <v>148</v>
      </c>
      <c r="M145" s="774">
        <f t="shared" si="12"/>
        <v>149</v>
      </c>
      <c r="N145" s="774">
        <f t="shared" si="12"/>
        <v>149</v>
      </c>
      <c r="O145" s="774">
        <f t="shared" si="12"/>
        <v>147</v>
      </c>
      <c r="P145" s="774">
        <f t="shared" si="12"/>
        <v>147</v>
      </c>
      <c r="Q145" s="793"/>
      <c r="R145" s="755"/>
      <c r="S145" s="755"/>
    </row>
    <row r="146" spans="1:19" ht="15" customHeight="1">
      <c r="A146" s="750" t="s">
        <v>187</v>
      </c>
      <c r="C146" s="751">
        <v>6005</v>
      </c>
      <c r="D146" s="752">
        <v>147</v>
      </c>
      <c r="E146" s="753">
        <v>147</v>
      </c>
      <c r="F146" s="753">
        <v>147</v>
      </c>
      <c r="G146" s="753">
        <v>147</v>
      </c>
      <c r="H146" s="753">
        <v>147</v>
      </c>
      <c r="I146" s="753">
        <v>147</v>
      </c>
      <c r="J146" s="753">
        <v>148</v>
      </c>
      <c r="K146" s="753">
        <v>148</v>
      </c>
      <c r="L146" s="753">
        <v>148</v>
      </c>
      <c r="M146" s="753">
        <v>149</v>
      </c>
      <c r="N146" s="753">
        <v>149</v>
      </c>
      <c r="O146" s="753">
        <v>147</v>
      </c>
      <c r="P146" s="753">
        <v>147</v>
      </c>
      <c r="Q146" s="754">
        <v>0</v>
      </c>
      <c r="R146" s="755" t="str">
        <f>IFERROR(VLOOKUP($C146,[25]Nod!$A$3:$E$992,4,FALSE)," ")</f>
        <v>CHO230</v>
      </c>
      <c r="S146" s="755">
        <f>IFERROR(VLOOKUP($C146,[25]Nod!$A$3:$E$992,5,FALSE)," ")</f>
        <v>6</v>
      </c>
    </row>
    <row r="147" spans="1:19" ht="15" customHeight="1">
      <c r="A147" s="750" t="s">
        <v>89</v>
      </c>
      <c r="C147" s="801">
        <v>6005</v>
      </c>
      <c r="D147" s="752">
        <v>4.3</v>
      </c>
      <c r="E147" s="753"/>
      <c r="F147" s="753"/>
      <c r="G147" s="753"/>
      <c r="H147" s="753"/>
      <c r="I147" s="753"/>
      <c r="J147" s="753"/>
      <c r="K147" s="753"/>
      <c r="L147" s="753"/>
      <c r="M147" s="753"/>
      <c r="N147" s="753"/>
      <c r="O147" s="753"/>
      <c r="P147" s="753"/>
      <c r="Q147" s="754">
        <v>0</v>
      </c>
      <c r="R147" s="755" t="str">
        <f>IFERROR(VLOOKUP($C147,[25]Nod!$A$3:$E$992,4,FALSE)," ")</f>
        <v>CHO230</v>
      </c>
      <c r="S147" s="755">
        <f>IFERROR(VLOOKUP($C147,[25]Nod!$A$3:$E$992,5,FALSE)," ")</f>
        <v>6</v>
      </c>
    </row>
    <row r="148" spans="1:19" ht="15" customHeight="1">
      <c r="A148" s="750" t="s">
        <v>500</v>
      </c>
      <c r="C148" s="801">
        <v>6005</v>
      </c>
      <c r="D148" s="823">
        <v>0.96</v>
      </c>
      <c r="E148" s="753"/>
      <c r="F148" s="788"/>
      <c r="G148" s="788"/>
      <c r="H148" s="788"/>
      <c r="I148" s="788"/>
      <c r="J148" s="788"/>
      <c r="K148" s="753"/>
      <c r="L148" s="753"/>
      <c r="M148" s="753"/>
      <c r="N148" s="753"/>
      <c r="O148" s="753"/>
      <c r="P148" s="753"/>
      <c r="Q148" s="754"/>
      <c r="R148" s="755" t="str">
        <f>IFERROR(VLOOKUP($C148,[25]Nod!$A$3:$E$992,4,FALSE)," ")</f>
        <v>CHO230</v>
      </c>
      <c r="S148" s="755">
        <f>IFERROR(VLOOKUP($C148,[25]Nod!$A$3:$E$992,5,FALSE)," ")</f>
        <v>6</v>
      </c>
    </row>
    <row r="149" spans="1:19" ht="15" customHeight="1">
      <c r="A149" s="750" t="s">
        <v>501</v>
      </c>
      <c r="C149" s="801">
        <v>6005</v>
      </c>
      <c r="D149" s="823">
        <v>3</v>
      </c>
      <c r="E149" s="753"/>
      <c r="F149" s="788"/>
      <c r="G149" s="788"/>
      <c r="H149" s="788"/>
      <c r="I149" s="788"/>
      <c r="J149" s="788"/>
      <c r="K149" s="753"/>
      <c r="L149" s="753"/>
      <c r="M149" s="753"/>
      <c r="N149" s="753"/>
      <c r="O149" s="753"/>
      <c r="P149" s="753"/>
      <c r="Q149" s="754"/>
      <c r="R149" s="755" t="str">
        <f>IFERROR(VLOOKUP($C149,[25]Nod!$A$3:$E$992,4,FALSE)," ")</f>
        <v>CHO230</v>
      </c>
      <c r="S149" s="755">
        <f>IFERROR(VLOOKUP($C149,[25]Nod!$A$3:$E$992,5,FALSE)," ")</f>
        <v>6</v>
      </c>
    </row>
    <row r="150" spans="1:19" ht="15" customHeight="1">
      <c r="A150" s="750" t="s">
        <v>502</v>
      </c>
      <c r="B150" s="719"/>
      <c r="C150" s="813">
        <v>6005</v>
      </c>
      <c r="D150" s="821">
        <v>0.5</v>
      </c>
      <c r="E150" s="783"/>
      <c r="F150" s="783"/>
      <c r="G150" s="783"/>
      <c r="H150" s="783"/>
      <c r="I150" s="783"/>
      <c r="J150" s="783"/>
      <c r="K150" s="783"/>
      <c r="L150" s="783"/>
      <c r="M150" s="783"/>
      <c r="N150" s="783"/>
      <c r="O150" s="783"/>
      <c r="P150" s="783"/>
      <c r="Q150" s="784">
        <v>13</v>
      </c>
      <c r="R150" s="755" t="str">
        <f>IFERROR(VLOOKUP($C150,[25]Nod!$A$3:$E$992,4,FALSE)," ")</f>
        <v>CHO230</v>
      </c>
      <c r="S150" s="755">
        <f>IFERROR(VLOOKUP($C150,[25]Nod!$A$3:$E$992,5,FALSE)," ")</f>
        <v>6</v>
      </c>
    </row>
    <row r="151" spans="1:19" ht="15" customHeight="1">
      <c r="A151" s="824" t="s">
        <v>151</v>
      </c>
      <c r="B151" s="764"/>
      <c r="C151" s="765"/>
      <c r="E151" s="791"/>
      <c r="F151" s="751"/>
      <c r="G151" s="751"/>
      <c r="H151" s="751"/>
      <c r="I151" s="751"/>
      <c r="J151" s="751"/>
      <c r="K151" s="791"/>
      <c r="L151" s="791"/>
      <c r="M151" s="791"/>
      <c r="N151" s="791"/>
      <c r="O151" s="791"/>
      <c r="P151" s="791"/>
      <c r="Q151" s="791"/>
      <c r="R151" s="755" t="str">
        <f>IFERROR(VLOOKUP($C151,[25]Nod!$A$3:$E$992,4,FALSE)," ")</f>
        <v xml:space="preserve"> </v>
      </c>
      <c r="S151" s="755" t="str">
        <f>IFERROR(VLOOKUP($C151,[25]Nod!$A$3:$E$992,5,FALSE)," ")</f>
        <v xml:space="preserve"> </v>
      </c>
    </row>
    <row r="152" spans="1:19" ht="15" customHeight="1">
      <c r="A152" s="745">
        <v>7</v>
      </c>
      <c r="B152" s="741"/>
      <c r="C152" s="742"/>
      <c r="D152" s="743">
        <f>SUM(D153:D157)</f>
        <v>162.43</v>
      </c>
      <c r="E152" s="743">
        <f t="shared" ref="E152:P152" si="13">SUM(E153:E155)</f>
        <v>119.47999999999999</v>
      </c>
      <c r="F152" s="743">
        <f t="shared" si="13"/>
        <v>119.47999999999999</v>
      </c>
      <c r="G152" s="743">
        <f t="shared" si="13"/>
        <v>119.47999999999999</v>
      </c>
      <c r="H152" s="743">
        <f t="shared" si="13"/>
        <v>119.47999999999999</v>
      </c>
      <c r="I152" s="743">
        <f t="shared" si="13"/>
        <v>65.95</v>
      </c>
      <c r="J152" s="743">
        <f t="shared" si="13"/>
        <v>65.95</v>
      </c>
      <c r="K152" s="743">
        <f t="shared" si="13"/>
        <v>105.8</v>
      </c>
      <c r="L152" s="743">
        <f t="shared" si="13"/>
        <v>105.8</v>
      </c>
      <c r="M152" s="743">
        <f t="shared" si="13"/>
        <v>105.8</v>
      </c>
      <c r="N152" s="743">
        <f t="shared" si="13"/>
        <v>105.8</v>
      </c>
      <c r="O152" s="743">
        <f t="shared" si="13"/>
        <v>105.8</v>
      </c>
      <c r="P152" s="743">
        <f t="shared" si="13"/>
        <v>105.8</v>
      </c>
      <c r="Q152" s="744"/>
      <c r="R152" s="755" t="str">
        <f>IFERROR(VLOOKUP($C152,[25]Nod!$A$3:$E$992,4,FALSE)," ")</f>
        <v xml:space="preserve"> </v>
      </c>
      <c r="S152" s="755" t="str">
        <f>IFERROR(VLOOKUP($C152,[25]Nod!$A$3:$E$992,5,FALSE)," ")</f>
        <v xml:space="preserve"> </v>
      </c>
    </row>
    <row r="153" spans="1:19" ht="15" customHeight="1">
      <c r="A153" s="750" t="s">
        <v>503</v>
      </c>
      <c r="C153" s="751">
        <v>6018</v>
      </c>
      <c r="D153" s="752">
        <v>97.7</v>
      </c>
      <c r="E153" s="753">
        <v>57.85</v>
      </c>
      <c r="F153" s="753">
        <v>57.85</v>
      </c>
      <c r="G153" s="753">
        <v>57.85</v>
      </c>
      <c r="H153" s="753">
        <v>57.85</v>
      </c>
      <c r="I153" s="753">
        <v>57.85</v>
      </c>
      <c r="J153" s="753">
        <v>57.85</v>
      </c>
      <c r="K153" s="825">
        <v>97.7</v>
      </c>
      <c r="L153" s="825">
        <v>97.7</v>
      </c>
      <c r="M153" s="825">
        <v>97.7</v>
      </c>
      <c r="N153" s="825">
        <v>97.7</v>
      </c>
      <c r="O153" s="825">
        <v>97.7</v>
      </c>
      <c r="P153" s="825">
        <v>97.7</v>
      </c>
      <c r="Q153" s="754">
        <v>0</v>
      </c>
      <c r="R153" s="755" t="str">
        <f>IFERROR(VLOOKUP($C153,[25]Nod!$A$3:$E$992,4,FALSE)," ")</f>
        <v>CAC115</v>
      </c>
      <c r="S153" s="755">
        <f>IFERROR(VLOOKUP($C153,[25]Nod!$A$3:$E$992,5,FALSE)," ")</f>
        <v>7</v>
      </c>
    </row>
    <row r="154" spans="1:19" ht="15" customHeight="1">
      <c r="A154" s="750" t="s">
        <v>37</v>
      </c>
      <c r="C154" s="751">
        <v>6171</v>
      </c>
      <c r="D154" s="752">
        <v>53.53</v>
      </c>
      <c r="E154" s="753">
        <v>53.53</v>
      </c>
      <c r="F154" s="753">
        <v>53.53</v>
      </c>
      <c r="G154" s="753">
        <v>53.53</v>
      </c>
      <c r="H154" s="753">
        <v>53.53</v>
      </c>
      <c r="I154" s="753">
        <v>0</v>
      </c>
      <c r="J154" s="753">
        <v>0</v>
      </c>
      <c r="K154" s="753">
        <v>0</v>
      </c>
      <c r="L154" s="753">
        <v>0</v>
      </c>
      <c r="M154" s="753">
        <v>0</v>
      </c>
      <c r="N154" s="753">
        <v>0</v>
      </c>
      <c r="O154" s="753">
        <v>0</v>
      </c>
      <c r="P154" s="753">
        <v>0</v>
      </c>
      <c r="Q154" s="754">
        <v>0</v>
      </c>
      <c r="R154" s="755" t="str">
        <f>IFERROR(VLOOKUP($C154,[25]Nod!$A$3:$E$992,4,FALSE)," ")</f>
        <v>PAC230</v>
      </c>
      <c r="S154" s="755">
        <f>IFERROR(VLOOKUP($C154,[25]Nod!$A$3:$E$992,5,FALSE)," ")</f>
        <v>7</v>
      </c>
    </row>
    <row r="155" spans="1:19" ht="15" customHeight="1">
      <c r="A155" s="761" t="s">
        <v>504</v>
      </c>
      <c r="C155" s="751">
        <v>6002</v>
      </c>
      <c r="D155" s="752">
        <v>8.1</v>
      </c>
      <c r="E155" s="753">
        <v>8.1</v>
      </c>
      <c r="F155" s="753">
        <v>8.1</v>
      </c>
      <c r="G155" s="753">
        <v>8.1</v>
      </c>
      <c r="H155" s="753">
        <v>8.1</v>
      </c>
      <c r="I155" s="753">
        <v>8.1</v>
      </c>
      <c r="J155" s="753">
        <v>8.1</v>
      </c>
      <c r="K155" s="753">
        <v>8.1</v>
      </c>
      <c r="L155" s="753">
        <v>8.1</v>
      </c>
      <c r="M155" s="753">
        <v>8.1</v>
      </c>
      <c r="N155" s="753">
        <v>8.1</v>
      </c>
      <c r="O155" s="753">
        <v>8.1</v>
      </c>
      <c r="P155" s="753">
        <v>8.1</v>
      </c>
      <c r="Q155" s="754">
        <v>0</v>
      </c>
      <c r="R155" s="755" t="str">
        <f>IFERROR(VLOOKUP($C155,[25]Nod!$A$3:$E$992,4,FALSE)," ")</f>
        <v>PAN115</v>
      </c>
      <c r="S155" s="755">
        <f>IFERROR(VLOOKUP($C155,[25]Nod!$A$3:$E$992,5,FALSE)," ")</f>
        <v>7</v>
      </c>
    </row>
    <row r="156" spans="1:19" ht="15" customHeight="1">
      <c r="A156" s="826" t="s">
        <v>505</v>
      </c>
      <c r="B156" s="719"/>
      <c r="C156" s="810">
        <v>6018</v>
      </c>
      <c r="D156" s="821">
        <v>0.1</v>
      </c>
      <c r="E156" s="783"/>
      <c r="F156" s="783"/>
      <c r="G156" s="783"/>
      <c r="H156" s="783"/>
      <c r="I156" s="783"/>
      <c r="J156" s="783"/>
      <c r="K156" s="783"/>
      <c r="L156" s="783"/>
      <c r="M156" s="783"/>
      <c r="N156" s="783"/>
      <c r="O156" s="783"/>
      <c r="P156" s="783"/>
      <c r="Q156" s="822">
        <v>13</v>
      </c>
      <c r="R156" s="755" t="str">
        <f>IFERROR(VLOOKUP($C156,[25]Nod!$A$3:$E$992,4,FALSE)," ")</f>
        <v>CAC115</v>
      </c>
      <c r="S156" s="755">
        <f>IFERROR(VLOOKUP($C156,[25]Nod!$A$3:$E$992,5,FALSE)," ")</f>
        <v>7</v>
      </c>
    </row>
    <row r="157" spans="1:19" ht="15" customHeight="1">
      <c r="A157" s="826" t="s">
        <v>506</v>
      </c>
      <c r="B157" s="719"/>
      <c r="C157" s="810">
        <v>6171</v>
      </c>
      <c r="D157" s="821">
        <v>3</v>
      </c>
      <c r="E157" s="783"/>
      <c r="F157" s="783"/>
      <c r="G157" s="783"/>
      <c r="H157" s="783"/>
      <c r="I157" s="783"/>
      <c r="J157" s="783"/>
      <c r="K157" s="783"/>
      <c r="L157" s="783"/>
      <c r="M157" s="783"/>
      <c r="N157" s="783"/>
      <c r="O157" s="783"/>
      <c r="P157" s="783"/>
      <c r="Q157" s="822">
        <v>13</v>
      </c>
      <c r="R157" s="755" t="str">
        <f>IFERROR(VLOOKUP($C157,[25]Nod!$A$3:$E$992,4,FALSE)," ")</f>
        <v>PAC230</v>
      </c>
      <c r="S157" s="755">
        <f>IFERROR(VLOOKUP($C157,[25]Nod!$A$3:$E$992,5,FALSE)," ")</f>
        <v>7</v>
      </c>
    </row>
    <row r="158" spans="1:19" ht="15" customHeight="1">
      <c r="A158" s="761"/>
      <c r="C158" s="751"/>
      <c r="D158" s="752"/>
      <c r="E158" s="753"/>
      <c r="F158" s="753"/>
      <c r="G158" s="753"/>
      <c r="H158" s="753"/>
      <c r="I158" s="753"/>
      <c r="J158" s="753"/>
      <c r="K158" s="753"/>
      <c r="L158" s="753"/>
      <c r="M158" s="753"/>
      <c r="N158" s="753"/>
      <c r="O158" s="753"/>
      <c r="P158" s="753"/>
      <c r="Q158" s="827"/>
      <c r="R158" s="755" t="str">
        <f>IFERROR(VLOOKUP($C158,[25]Nod!$A$3:$E$992,4,FALSE)," ")</f>
        <v xml:space="preserve"> </v>
      </c>
      <c r="S158" s="755" t="str">
        <f>IFERROR(VLOOKUP($C158,[25]Nod!$A$3:$E$992,5,FALSE)," ")</f>
        <v xml:space="preserve"> </v>
      </c>
    </row>
    <row r="159" spans="1:19" ht="15" customHeight="1">
      <c r="A159" s="785">
        <v>8</v>
      </c>
      <c r="B159" s="828"/>
      <c r="C159" s="773"/>
      <c r="D159" s="774">
        <f>SUM(D160)</f>
        <v>260</v>
      </c>
      <c r="E159" s="774">
        <v>260</v>
      </c>
      <c r="F159" s="774">
        <v>260</v>
      </c>
      <c r="G159" s="774">
        <v>260</v>
      </c>
      <c r="H159" s="774">
        <v>260</v>
      </c>
      <c r="I159" s="774">
        <f t="shared" ref="I159:P159" si="14">SUM(I160)</f>
        <v>260</v>
      </c>
      <c r="J159" s="774">
        <f t="shared" si="14"/>
        <v>260</v>
      </c>
      <c r="K159" s="774">
        <f t="shared" si="14"/>
        <v>260</v>
      </c>
      <c r="L159" s="774">
        <f t="shared" si="14"/>
        <v>260</v>
      </c>
      <c r="M159" s="774">
        <f t="shared" si="14"/>
        <v>260</v>
      </c>
      <c r="N159" s="774">
        <f t="shared" si="14"/>
        <v>260</v>
      </c>
      <c r="O159" s="774">
        <f t="shared" si="14"/>
        <v>260</v>
      </c>
      <c r="P159" s="774">
        <f t="shared" si="14"/>
        <v>260</v>
      </c>
      <c r="Q159" s="793"/>
      <c r="R159" s="755" t="str">
        <f>IFERROR(VLOOKUP($C159,[25]Nod!$A$3:$E$992,4,FALSE)," ")</f>
        <v xml:space="preserve"> </v>
      </c>
      <c r="S159" s="755" t="str">
        <f>IFERROR(VLOOKUP($C159,[25]Nod!$A$3:$E$992,5,FALSE)," ")</f>
        <v xml:space="preserve"> </v>
      </c>
    </row>
    <row r="160" spans="1:19" ht="15" customHeight="1">
      <c r="A160" s="750" t="s">
        <v>4</v>
      </c>
      <c r="C160" s="751">
        <v>6100</v>
      </c>
      <c r="D160" s="752">
        <v>260</v>
      </c>
      <c r="E160" s="753">
        <v>260</v>
      </c>
      <c r="F160" s="753">
        <v>260</v>
      </c>
      <c r="G160" s="753">
        <v>260</v>
      </c>
      <c r="H160" s="753">
        <v>260</v>
      </c>
      <c r="I160" s="753">
        <v>260</v>
      </c>
      <c r="J160" s="753">
        <v>260</v>
      </c>
      <c r="K160" s="753">
        <v>260</v>
      </c>
      <c r="L160" s="753">
        <v>260</v>
      </c>
      <c r="M160" s="753">
        <v>260</v>
      </c>
      <c r="N160" s="753">
        <v>260</v>
      </c>
      <c r="O160" s="753">
        <v>260</v>
      </c>
      <c r="P160" s="753">
        <v>260</v>
      </c>
      <c r="Q160" s="754">
        <v>0</v>
      </c>
      <c r="R160" s="755" t="str">
        <f>IFERROR(VLOOKUP($C160,[25]Nod!$A$3:$E$992,4,FALSE)," ")</f>
        <v>BAY230</v>
      </c>
      <c r="S160" s="755">
        <f>IFERROR(VLOOKUP($C160,[25]Nod!$A$3:$E$992,5,FALSE)," ")</f>
        <v>8</v>
      </c>
    </row>
    <row r="161" spans="1:19" ht="15" customHeight="1">
      <c r="A161" s="761" t="s">
        <v>151</v>
      </c>
      <c r="B161" s="764"/>
      <c r="C161" s="765"/>
      <c r="D161" s="766"/>
      <c r="E161" s="766"/>
      <c r="F161" s="766"/>
      <c r="G161" s="766"/>
      <c r="H161" s="766"/>
      <c r="I161" s="766"/>
      <c r="J161" s="766"/>
      <c r="K161" s="766"/>
      <c r="L161" s="766"/>
      <c r="M161" s="766"/>
      <c r="N161" s="766"/>
      <c r="O161" s="766"/>
      <c r="P161" s="766"/>
      <c r="Q161" s="798"/>
      <c r="R161" s="755" t="str">
        <f>IFERROR(VLOOKUP($C161,[25]Nod!$A$3:$E$992,4,FALSE)," ")</f>
        <v xml:space="preserve"> </v>
      </c>
      <c r="S161" s="755" t="str">
        <f>IFERROR(VLOOKUP($C161,[25]Nod!$A$3:$E$992,5,FALSE)," ")</f>
        <v xml:space="preserve"> </v>
      </c>
    </row>
    <row r="162" spans="1:19" ht="15" customHeight="1">
      <c r="A162" s="785">
        <v>9</v>
      </c>
      <c r="B162" s="828"/>
      <c r="C162" s="829"/>
      <c r="D162" s="743">
        <f>SUM(D163:D168)</f>
        <v>945.45</v>
      </c>
      <c r="E162" s="743">
        <f>SUM(E163:E167)</f>
        <v>896.25</v>
      </c>
      <c r="F162" s="743">
        <f t="shared" ref="F162:K162" si="15">SUM(F163:F168)</f>
        <v>774.45</v>
      </c>
      <c r="G162" s="743">
        <f t="shared" si="15"/>
        <v>774.45</v>
      </c>
      <c r="H162" s="743">
        <f t="shared" si="15"/>
        <v>774.45</v>
      </c>
      <c r="I162" s="743">
        <f t="shared" si="15"/>
        <v>774.45</v>
      </c>
      <c r="J162" s="743">
        <f t="shared" si="15"/>
        <v>774.45</v>
      </c>
      <c r="K162" s="743">
        <f t="shared" si="15"/>
        <v>774.45</v>
      </c>
      <c r="L162" s="743">
        <f>SUM(L163:L168)</f>
        <v>774.45</v>
      </c>
      <c r="M162" s="743">
        <f>SUM(M163:M168)</f>
        <v>774.45</v>
      </c>
      <c r="N162" s="743">
        <f>SUM(N163:N168)</f>
        <v>774.45</v>
      </c>
      <c r="O162" s="743">
        <f>SUM(O163:O168)</f>
        <v>740.45</v>
      </c>
      <c r="P162" s="743">
        <f>SUM(P163:P168)</f>
        <v>740.45</v>
      </c>
      <c r="Q162" s="744"/>
      <c r="R162" s="755" t="str">
        <f>IFERROR(VLOOKUP($C162,[25]Nod!$A$3:$E$992,4,FALSE)," ")</f>
        <v xml:space="preserve"> </v>
      </c>
      <c r="S162" s="755" t="str">
        <f>IFERROR(VLOOKUP($C162,[25]Nod!$A$3:$E$992,5,FALSE)," ")</f>
        <v xml:space="preserve"> </v>
      </c>
    </row>
    <row r="163" spans="1:19" ht="15" customHeight="1">
      <c r="A163" s="750" t="s">
        <v>507</v>
      </c>
      <c r="C163" s="751">
        <v>6059</v>
      </c>
      <c r="D163" s="752">
        <v>273</v>
      </c>
      <c r="E163" s="753">
        <v>273</v>
      </c>
      <c r="F163" s="830">
        <v>102</v>
      </c>
      <c r="G163" s="830">
        <v>102</v>
      </c>
      <c r="H163" s="830">
        <v>102</v>
      </c>
      <c r="I163" s="830">
        <v>102</v>
      </c>
      <c r="J163" s="830">
        <v>102</v>
      </c>
      <c r="K163" s="830">
        <v>102</v>
      </c>
      <c r="L163" s="830">
        <v>102</v>
      </c>
      <c r="M163" s="830">
        <v>102</v>
      </c>
      <c r="N163" s="830">
        <v>102</v>
      </c>
      <c r="O163" s="830">
        <v>68</v>
      </c>
      <c r="P163" s="830">
        <v>68</v>
      </c>
      <c r="Q163" s="779">
        <v>0</v>
      </c>
      <c r="R163" s="755" t="str">
        <f>IFERROR(VLOOKUP($C163,[25]Nod!$A$3:$E$992,4,FALSE)," ")</f>
        <v>LM1115</v>
      </c>
      <c r="S163" s="755">
        <f>IFERROR(VLOOKUP($C163,[25]Nod!$A$3:$E$992,5,FALSE)," ")</f>
        <v>9</v>
      </c>
    </row>
    <row r="164" spans="1:19" ht="15" customHeight="1">
      <c r="A164" s="750" t="s">
        <v>199</v>
      </c>
      <c r="C164" s="751">
        <v>6059</v>
      </c>
      <c r="D164" s="752">
        <v>87.2</v>
      </c>
      <c r="E164" s="753">
        <v>87.2</v>
      </c>
      <c r="F164" s="753">
        <v>87.2</v>
      </c>
      <c r="G164" s="753">
        <v>87.2</v>
      </c>
      <c r="H164" s="753">
        <v>87.2</v>
      </c>
      <c r="I164" s="753">
        <v>87.2</v>
      </c>
      <c r="J164" s="753">
        <v>87.2</v>
      </c>
      <c r="K164" s="753">
        <v>87.2</v>
      </c>
      <c r="L164" s="753">
        <v>87.2</v>
      </c>
      <c r="M164" s="753">
        <v>87.2</v>
      </c>
      <c r="N164" s="753">
        <v>87.2</v>
      </c>
      <c r="O164" s="753">
        <v>87.2</v>
      </c>
      <c r="P164" s="753">
        <v>87.2</v>
      </c>
      <c r="Q164" s="754">
        <v>0</v>
      </c>
      <c r="R164" s="755" t="str">
        <f>IFERROR(VLOOKUP($C164,[25]Nod!$A$3:$E$992,4,FALSE)," ")</f>
        <v>LM1115</v>
      </c>
      <c r="S164" s="755">
        <f>IFERROR(VLOOKUP($C164,[25]Nod!$A$3:$E$992,5,FALSE)," ")</f>
        <v>9</v>
      </c>
    </row>
    <row r="165" spans="1:19" ht="15" customHeight="1">
      <c r="A165" s="750" t="s">
        <v>200</v>
      </c>
      <c r="C165" s="751">
        <v>6290</v>
      </c>
      <c r="D165" s="752">
        <v>150</v>
      </c>
      <c r="E165" s="815">
        <v>150</v>
      </c>
      <c r="F165" s="815">
        <v>150</v>
      </c>
      <c r="G165" s="815">
        <v>150</v>
      </c>
      <c r="H165" s="815">
        <v>150</v>
      </c>
      <c r="I165" s="815">
        <v>150</v>
      </c>
      <c r="J165" s="815">
        <v>150</v>
      </c>
      <c r="K165" s="815">
        <v>150</v>
      </c>
      <c r="L165" s="815">
        <v>150</v>
      </c>
      <c r="M165" s="815">
        <v>150</v>
      </c>
      <c r="N165" s="815">
        <v>150</v>
      </c>
      <c r="O165" s="815">
        <v>150</v>
      </c>
      <c r="P165" s="815">
        <v>150</v>
      </c>
      <c r="Q165" s="754">
        <v>0</v>
      </c>
      <c r="R165" s="755" t="str">
        <f>IFERROR(VLOOKUP($C165,[25]Nod!$A$3:$E$992,4,FALSE)," ")</f>
        <v>CATII115</v>
      </c>
      <c r="S165" s="755">
        <f>IFERROR(VLOOKUP($C165,[25]Nod!$A$3:$E$992,5,FALSE)," ")</f>
        <v>9</v>
      </c>
    </row>
    <row r="166" spans="1:19" ht="15" customHeight="1">
      <c r="A166" s="761" t="s">
        <v>508</v>
      </c>
      <c r="C166" s="751">
        <v>6801</v>
      </c>
      <c r="D166" s="752">
        <v>381</v>
      </c>
      <c r="E166" s="753">
        <v>381</v>
      </c>
      <c r="F166" s="753">
        <v>381</v>
      </c>
      <c r="G166" s="753">
        <v>381</v>
      </c>
      <c r="H166" s="753">
        <v>381</v>
      </c>
      <c r="I166" s="753">
        <v>381</v>
      </c>
      <c r="J166" s="753">
        <v>381</v>
      </c>
      <c r="K166" s="753">
        <v>381</v>
      </c>
      <c r="L166" s="753">
        <v>381</v>
      </c>
      <c r="M166" s="753">
        <v>381</v>
      </c>
      <c r="N166" s="753">
        <v>381</v>
      </c>
      <c r="O166" s="753">
        <v>381</v>
      </c>
      <c r="P166" s="753">
        <v>381</v>
      </c>
      <c r="Q166" s="754">
        <v>0</v>
      </c>
      <c r="R166" s="755" t="str">
        <f>IFERROR(VLOOKUP($C166,[25]Nod!$A$3:$E$992,4,FALSE)," ")</f>
        <v>CNO230</v>
      </c>
      <c r="S166" s="755">
        <f>IFERROR(VLOOKUP($C166,[25]Nod!$A$3:$E$992,5,FALSE)," ")</f>
        <v>9</v>
      </c>
    </row>
    <row r="167" spans="1:19" ht="15" customHeight="1">
      <c r="A167" s="761" t="s">
        <v>509</v>
      </c>
      <c r="C167" s="751">
        <v>6173</v>
      </c>
      <c r="D167" s="752">
        <v>5.05</v>
      </c>
      <c r="E167" s="753">
        <v>5.05</v>
      </c>
      <c r="F167" s="753">
        <v>5.05</v>
      </c>
      <c r="G167" s="753">
        <v>5.05</v>
      </c>
      <c r="H167" s="753">
        <v>5.05</v>
      </c>
      <c r="I167" s="753">
        <v>5.05</v>
      </c>
      <c r="J167" s="753">
        <v>5.05</v>
      </c>
      <c r="K167" s="753">
        <v>5.05</v>
      </c>
      <c r="L167" s="753">
        <v>5.05</v>
      </c>
      <c r="M167" s="753">
        <v>5.05</v>
      </c>
      <c r="N167" s="753">
        <v>5.05</v>
      </c>
      <c r="O167" s="753">
        <v>5.05</v>
      </c>
      <c r="P167" s="753">
        <v>5.05</v>
      </c>
      <c r="Q167" s="754"/>
      <c r="R167" s="755" t="str">
        <f>IFERROR(VLOOKUP($C167,[25]Nod!$A$3:$E$992,4,FALSE)," ")</f>
        <v>STR115</v>
      </c>
      <c r="S167" s="755">
        <f>IFERROR(VLOOKUP($C167,[25]Nod!$A$3:$E$992,5,FALSE)," ")</f>
        <v>9</v>
      </c>
    </row>
    <row r="168" spans="1:19" ht="15" customHeight="1">
      <c r="A168" s="761" t="s">
        <v>510</v>
      </c>
      <c r="C168" s="751">
        <v>6173</v>
      </c>
      <c r="D168" s="752">
        <v>49.2</v>
      </c>
      <c r="E168" s="753">
        <v>0</v>
      </c>
      <c r="F168" s="830">
        <v>49.2</v>
      </c>
      <c r="G168" s="830">
        <v>49.2</v>
      </c>
      <c r="H168" s="830">
        <v>49.2</v>
      </c>
      <c r="I168" s="830">
        <v>49.2</v>
      </c>
      <c r="J168" s="830">
        <v>49.2</v>
      </c>
      <c r="K168" s="830">
        <v>49.2</v>
      </c>
      <c r="L168" s="830">
        <v>49.2</v>
      </c>
      <c r="M168" s="830">
        <v>49.2</v>
      </c>
      <c r="N168" s="830">
        <v>49.2</v>
      </c>
      <c r="O168" s="830">
        <v>49.2</v>
      </c>
      <c r="P168" s="830">
        <v>49.2</v>
      </c>
      <c r="Q168" s="779"/>
      <c r="R168" s="755" t="str">
        <f>IFERROR(VLOOKUP($C168,[25]Nod!$A$3:$E$992,4,FALSE)," ")</f>
        <v>STR115</v>
      </c>
      <c r="S168" s="755">
        <f>IFERROR(VLOOKUP($C168,[25]Nod!$A$3:$E$992,5,FALSE)," ")</f>
        <v>9</v>
      </c>
    </row>
    <row r="169" spans="1:19" s="719" customFormat="1" ht="15" customHeight="1">
      <c r="A169" s="761" t="s">
        <v>511</v>
      </c>
      <c r="C169" s="810">
        <v>6173</v>
      </c>
      <c r="D169" s="752"/>
      <c r="E169" s="783"/>
      <c r="F169" s="783"/>
      <c r="G169" s="783"/>
      <c r="H169" s="783"/>
      <c r="I169" s="783"/>
      <c r="J169" s="783"/>
      <c r="K169" s="783"/>
      <c r="L169" s="783"/>
      <c r="M169" s="783"/>
      <c r="N169" s="783"/>
      <c r="O169" s="783"/>
      <c r="P169" s="831"/>
      <c r="Q169" s="784"/>
      <c r="R169" s="755" t="str">
        <f>IFERROR(VLOOKUP($C169,[25]Nod!$A$3:$E$992,4,FALSE)," ")</f>
        <v>STR115</v>
      </c>
      <c r="S169" s="755">
        <f>IFERROR(VLOOKUP($C169,[25]Nod!$A$3:$E$992,5,FALSE)," ")</f>
        <v>9</v>
      </c>
    </row>
    <row r="170" spans="1:19" ht="15" customHeight="1">
      <c r="A170" s="761" t="s">
        <v>151</v>
      </c>
      <c r="C170" s="751"/>
      <c r="D170" s="791"/>
      <c r="E170" s="791"/>
      <c r="F170" s="791"/>
      <c r="G170" s="791"/>
      <c r="H170" s="791"/>
      <c r="I170" s="791"/>
      <c r="J170" s="791"/>
      <c r="K170" s="791"/>
      <c r="L170" s="791"/>
      <c r="M170" s="791"/>
      <c r="N170" s="791"/>
      <c r="O170" s="791"/>
      <c r="P170" s="791"/>
      <c r="Q170" s="754"/>
      <c r="R170" s="755" t="str">
        <f>IFERROR(VLOOKUP($C170,[25]Nod!$A$3:$E$992,4,FALSE)," ")</f>
        <v xml:space="preserve"> </v>
      </c>
      <c r="S170" s="755" t="str">
        <f>IFERROR(VLOOKUP($C170,[25]Nod!$A$3:$E$992,5,FALSE)," ")</f>
        <v xml:space="preserve"> </v>
      </c>
    </row>
    <row r="171" spans="1:19" ht="15" customHeight="1">
      <c r="A171" s="785">
        <v>10</v>
      </c>
      <c r="B171" s="828"/>
      <c r="C171" s="832"/>
      <c r="D171" s="774">
        <f>SUM(D172:D173)</f>
        <v>252.17</v>
      </c>
      <c r="E171" s="774">
        <v>252.17</v>
      </c>
      <c r="F171" s="774">
        <v>252.17</v>
      </c>
      <c r="G171" s="774">
        <v>252.17</v>
      </c>
      <c r="H171" s="774">
        <v>252.17</v>
      </c>
      <c r="I171" s="774">
        <f t="shared" ref="I171:P171" si="16">SUM(I172:I173)</f>
        <v>252.17</v>
      </c>
      <c r="J171" s="774">
        <f t="shared" si="16"/>
        <v>252.17</v>
      </c>
      <c r="K171" s="774">
        <f t="shared" si="16"/>
        <v>252.17</v>
      </c>
      <c r="L171" s="774">
        <f t="shared" si="16"/>
        <v>252.17</v>
      </c>
      <c r="M171" s="774">
        <f t="shared" si="16"/>
        <v>252.17</v>
      </c>
      <c r="N171" s="774">
        <f t="shared" si="16"/>
        <v>252.17</v>
      </c>
      <c r="O171" s="774">
        <f t="shared" si="16"/>
        <v>252.17</v>
      </c>
      <c r="P171" s="774">
        <f t="shared" si="16"/>
        <v>252.17</v>
      </c>
      <c r="Q171" s="793"/>
      <c r="R171" s="755" t="str">
        <f>IFERROR(VLOOKUP($C171,[25]Nod!$A$3:$E$992,4,FALSE)," ")</f>
        <v xml:space="preserve"> </v>
      </c>
      <c r="S171" s="755" t="str">
        <f>IFERROR(VLOOKUP($C171,[25]Nod!$A$3:$E$992,5,FALSE)," ")</f>
        <v xml:space="preserve"> </v>
      </c>
    </row>
    <row r="172" spans="1:19" ht="15" customHeight="1">
      <c r="A172" s="750" t="s">
        <v>196</v>
      </c>
      <c r="C172" s="751">
        <v>6263</v>
      </c>
      <c r="D172" s="752">
        <v>222.17</v>
      </c>
      <c r="E172" s="753">
        <v>222.17</v>
      </c>
      <c r="F172" s="753">
        <v>222.17</v>
      </c>
      <c r="G172" s="753">
        <v>222.17</v>
      </c>
      <c r="H172" s="753">
        <v>222.17</v>
      </c>
      <c r="I172" s="753">
        <v>222.17</v>
      </c>
      <c r="J172" s="753">
        <v>222.17</v>
      </c>
      <c r="K172" s="753">
        <v>222.17</v>
      </c>
      <c r="L172" s="753">
        <v>222.17</v>
      </c>
      <c r="M172" s="753">
        <v>222.17</v>
      </c>
      <c r="N172" s="753">
        <v>222.17</v>
      </c>
      <c r="O172" s="753">
        <v>222.17</v>
      </c>
      <c r="P172" s="753">
        <v>222.17</v>
      </c>
      <c r="Q172" s="754">
        <v>0</v>
      </c>
      <c r="R172" s="755" t="str">
        <f>IFERROR(VLOOKUP($C172,[25]Nod!$A$3:$E$992,4,FALSE)," ")</f>
        <v>ESP230</v>
      </c>
      <c r="S172" s="755">
        <f>IFERROR(VLOOKUP($C172,[25]Nod!$A$3:$E$992,5,FALSE)," ")</f>
        <v>10</v>
      </c>
    </row>
    <row r="173" spans="1:19" ht="15" customHeight="1">
      <c r="A173" s="750" t="s">
        <v>15</v>
      </c>
      <c r="C173" s="751">
        <v>6261</v>
      </c>
      <c r="D173" s="752">
        <v>30</v>
      </c>
      <c r="E173" s="753">
        <v>30</v>
      </c>
      <c r="F173" s="753">
        <v>30</v>
      </c>
      <c r="G173" s="753">
        <v>30</v>
      </c>
      <c r="H173" s="753">
        <v>30</v>
      </c>
      <c r="I173" s="753">
        <v>30</v>
      </c>
      <c r="J173" s="753">
        <v>30</v>
      </c>
      <c r="K173" s="753">
        <v>30</v>
      </c>
      <c r="L173" s="753">
        <v>30</v>
      </c>
      <c r="M173" s="753">
        <v>30</v>
      </c>
      <c r="N173" s="753">
        <v>30</v>
      </c>
      <c r="O173" s="753">
        <v>30</v>
      </c>
      <c r="P173" s="753">
        <v>30</v>
      </c>
      <c r="Q173" s="754">
        <v>0</v>
      </c>
      <c r="R173" s="755" t="str">
        <f>IFERROR(VLOOKUP($C173,[25]Nod!$A$3:$E$992,4,FALSE)," ")</f>
        <v>CHA115</v>
      </c>
      <c r="S173" s="755">
        <f>IFERROR(VLOOKUP($C173,[25]Nod!$A$3:$E$992,5,FALSE)," ")</f>
        <v>10</v>
      </c>
    </row>
    <row r="174" spans="1:19" ht="15" customHeight="1">
      <c r="A174" s="824" t="s">
        <v>151</v>
      </c>
      <c r="B174" s="764"/>
      <c r="C174" s="765"/>
      <c r="D174" s="766"/>
      <c r="E174" s="766"/>
      <c r="F174" s="766"/>
      <c r="G174" s="766"/>
      <c r="H174" s="766"/>
      <c r="I174" s="766"/>
      <c r="J174" s="766"/>
      <c r="K174" s="766"/>
      <c r="L174" s="766"/>
      <c r="M174" s="766"/>
      <c r="N174" s="766"/>
      <c r="O174" s="766"/>
      <c r="P174" s="766"/>
      <c r="Q174" s="798"/>
    </row>
    <row r="176" spans="1:19" ht="15" customHeight="1">
      <c r="D176" s="718"/>
      <c r="E176" s="718"/>
      <c r="F176" s="718"/>
      <c r="G176" s="718"/>
      <c r="H176" s="718"/>
      <c r="I176" s="718"/>
      <c r="J176" s="718"/>
      <c r="K176" s="718"/>
      <c r="L176" s="718"/>
      <c r="M176" s="718"/>
      <c r="N176" s="718"/>
      <c r="O176" s="718"/>
      <c r="P176" s="718"/>
    </row>
    <row r="177" spans="1:16" ht="15" customHeight="1">
      <c r="A177" s="660"/>
      <c r="D177" s="718"/>
      <c r="E177" s="718"/>
      <c r="F177" s="718"/>
      <c r="G177" s="718"/>
      <c r="H177" s="718"/>
      <c r="I177" s="718"/>
      <c r="J177" s="718"/>
      <c r="K177" s="718"/>
      <c r="L177" s="718"/>
      <c r="M177" s="718"/>
      <c r="N177" s="718"/>
      <c r="O177" s="718"/>
      <c r="P177" s="718"/>
    </row>
    <row r="178" spans="1:16" ht="15" customHeight="1">
      <c r="A178" s="660"/>
      <c r="D178" s="718"/>
      <c r="E178" s="833"/>
      <c r="F178" s="718"/>
      <c r="G178" s="718"/>
      <c r="H178" s="718"/>
      <c r="I178" s="718"/>
      <c r="J178" s="718"/>
      <c r="K178" s="718"/>
      <c r="L178" s="718"/>
      <c r="M178" s="718"/>
      <c r="N178" s="718"/>
      <c r="O178" s="718"/>
      <c r="P178" s="718"/>
    </row>
    <row r="179" spans="1:16" ht="15" customHeight="1">
      <c r="D179" s="718"/>
      <c r="E179" s="718"/>
      <c r="F179" s="718"/>
      <c r="G179" s="718"/>
      <c r="H179" s="718"/>
      <c r="I179" s="718"/>
      <c r="J179" s="718"/>
      <c r="K179" s="718"/>
      <c r="L179" s="718"/>
      <c r="M179" s="718"/>
      <c r="N179" s="718"/>
      <c r="O179" s="718"/>
      <c r="P179" s="718"/>
    </row>
    <row r="180" spans="1:16" ht="15" customHeight="1">
      <c r="D180" s="718"/>
      <c r="E180" s="718"/>
      <c r="F180" s="718"/>
      <c r="G180" s="718"/>
      <c r="H180" s="718"/>
      <c r="I180" s="718"/>
      <c r="J180" s="718"/>
      <c r="K180" s="718"/>
      <c r="L180" s="718"/>
      <c r="M180" s="718"/>
      <c r="N180" s="718"/>
      <c r="O180" s="718"/>
      <c r="P180" s="718"/>
    </row>
    <row r="181" spans="1:16" ht="15" customHeight="1">
      <c r="D181" s="718"/>
      <c r="E181" s="718"/>
      <c r="F181" s="718"/>
      <c r="G181" s="718"/>
      <c r="H181" s="718"/>
      <c r="I181" s="718"/>
      <c r="J181" s="718"/>
      <c r="K181" s="718"/>
      <c r="L181" s="718"/>
      <c r="M181" s="718"/>
      <c r="N181" s="718"/>
      <c r="O181" s="718"/>
      <c r="P181" s="718"/>
    </row>
    <row r="182" spans="1:16" ht="15" customHeight="1">
      <c r="D182" s="718"/>
      <c r="E182" s="718"/>
      <c r="F182" s="718"/>
      <c r="G182" s="718"/>
      <c r="H182" s="718"/>
      <c r="I182" s="718"/>
      <c r="J182" s="718"/>
      <c r="K182" s="718"/>
      <c r="L182" s="718"/>
      <c r="M182" s="718"/>
      <c r="N182" s="718"/>
      <c r="O182" s="718"/>
      <c r="P182" s="718"/>
    </row>
    <row r="183" spans="1:16" ht="15" customHeight="1">
      <c r="D183" s="718"/>
      <c r="E183" s="718"/>
      <c r="F183" s="718"/>
      <c r="G183" s="718"/>
      <c r="H183" s="718"/>
      <c r="I183" s="718"/>
      <c r="J183" s="718"/>
      <c r="K183" s="718"/>
      <c r="L183" s="718"/>
      <c r="M183" s="718"/>
      <c r="N183" s="718"/>
      <c r="O183" s="718"/>
      <c r="P183" s="718"/>
    </row>
    <row r="184" spans="1:16" ht="15" customHeight="1">
      <c r="D184" s="718"/>
      <c r="E184" s="718"/>
      <c r="F184" s="718"/>
      <c r="G184" s="718"/>
      <c r="H184" s="718"/>
      <c r="I184" s="718"/>
      <c r="J184" s="718"/>
      <c r="K184" s="718"/>
      <c r="L184" s="718"/>
      <c r="M184" s="718"/>
      <c r="N184" s="718"/>
      <c r="O184" s="718"/>
      <c r="P184" s="718"/>
    </row>
    <row r="185" spans="1:16" ht="15" customHeight="1">
      <c r="D185" s="718"/>
      <c r="E185" s="718"/>
      <c r="F185" s="718"/>
      <c r="G185" s="718"/>
      <c r="H185" s="718"/>
      <c r="I185" s="718"/>
      <c r="J185" s="718"/>
      <c r="K185" s="718"/>
      <c r="L185" s="718"/>
      <c r="M185" s="718"/>
      <c r="N185" s="718"/>
      <c r="O185" s="718"/>
      <c r="P185" s="718"/>
    </row>
    <row r="186" spans="1:16" ht="15" customHeight="1">
      <c r="D186" s="718"/>
      <c r="E186" s="718"/>
      <c r="F186" s="718"/>
      <c r="G186" s="718"/>
      <c r="H186" s="718"/>
      <c r="I186" s="718"/>
      <c r="J186" s="718"/>
      <c r="K186" s="718"/>
      <c r="L186" s="718"/>
      <c r="M186" s="718"/>
      <c r="N186" s="718"/>
      <c r="O186" s="718"/>
      <c r="P186" s="718"/>
    </row>
    <row r="187" spans="1:16" ht="15" customHeight="1">
      <c r="D187" s="718"/>
      <c r="E187" s="718"/>
      <c r="F187" s="718"/>
      <c r="G187" s="718"/>
      <c r="H187" s="718"/>
      <c r="I187" s="718"/>
      <c r="J187" s="718"/>
      <c r="K187" s="718"/>
      <c r="L187" s="718"/>
      <c r="M187" s="718"/>
      <c r="N187" s="718"/>
      <c r="O187" s="718"/>
      <c r="P187" s="718"/>
    </row>
    <row r="188" spans="1:16" ht="15" customHeight="1">
      <c r="D188" s="718"/>
      <c r="E188" s="718"/>
      <c r="F188" s="718"/>
      <c r="G188" s="718"/>
      <c r="H188" s="718"/>
      <c r="I188" s="718"/>
      <c r="J188" s="718"/>
      <c r="K188" s="718"/>
      <c r="L188" s="718"/>
      <c r="M188" s="718"/>
      <c r="N188" s="718"/>
      <c r="O188" s="718"/>
      <c r="P188" s="718"/>
    </row>
    <row r="189" spans="1:16" ht="15" customHeight="1">
      <c r="D189" s="718"/>
      <c r="F189" s="717"/>
      <c r="G189" s="717"/>
      <c r="K189" s="718"/>
      <c r="L189" s="717"/>
      <c r="M189" s="717"/>
    </row>
    <row r="190" spans="1:16" ht="15" customHeight="1">
      <c r="D190" s="718"/>
      <c r="F190" s="717"/>
      <c r="G190" s="717"/>
      <c r="K190" s="718"/>
      <c r="L190" s="717"/>
      <c r="M190" s="717"/>
    </row>
    <row r="191" spans="1:16" ht="15" customHeight="1">
      <c r="D191" s="718"/>
      <c r="F191" s="717"/>
      <c r="G191" s="717"/>
      <c r="K191" s="718"/>
      <c r="L191" s="717"/>
      <c r="M191" s="717"/>
    </row>
    <row r="192" spans="1:16" ht="15" customHeight="1">
      <c r="D192" s="718"/>
      <c r="F192" s="717"/>
      <c r="G192" s="717"/>
      <c r="K192" s="718"/>
      <c r="L192" s="717"/>
      <c r="M192" s="717"/>
    </row>
    <row r="193" spans="4:13" ht="15" customHeight="1">
      <c r="D193" s="718"/>
      <c r="F193" s="717"/>
      <c r="G193" s="717"/>
      <c r="K193" s="718"/>
      <c r="L193" s="717"/>
      <c r="M193" s="717"/>
    </row>
    <row r="194" spans="4:13" ht="15" customHeight="1">
      <c r="D194" s="718"/>
      <c r="F194" s="717"/>
      <c r="G194" s="717"/>
      <c r="K194" s="718"/>
      <c r="L194" s="717"/>
      <c r="M194" s="717"/>
    </row>
    <row r="195" spans="4:13" ht="15" customHeight="1">
      <c r="D195" s="718"/>
      <c r="F195" s="717"/>
      <c r="G195" s="717"/>
      <c r="K195" s="718"/>
      <c r="L195" s="717"/>
      <c r="M195" s="717"/>
    </row>
    <row r="196" spans="4:13" ht="15" customHeight="1">
      <c r="D196" s="718"/>
      <c r="F196" s="717"/>
      <c r="G196" s="717"/>
      <c r="K196" s="718"/>
      <c r="L196" s="717"/>
      <c r="M196" s="717"/>
    </row>
    <row r="197" spans="4:13" ht="15" customHeight="1">
      <c r="D197" s="718"/>
      <c r="F197" s="717"/>
      <c r="G197" s="717"/>
      <c r="K197" s="718"/>
      <c r="L197" s="717"/>
      <c r="M197" s="717"/>
    </row>
    <row r="198" spans="4:13" ht="15" customHeight="1">
      <c r="D198" s="718"/>
      <c r="F198" s="717"/>
      <c r="G198" s="717"/>
      <c r="K198" s="718"/>
      <c r="L198" s="717"/>
      <c r="M198" s="717"/>
    </row>
    <row r="199" spans="4:13" ht="15" customHeight="1">
      <c r="D199" s="718"/>
      <c r="F199" s="717"/>
      <c r="G199" s="717"/>
      <c r="K199" s="718"/>
      <c r="L199" s="717"/>
      <c r="M199" s="717"/>
    </row>
    <row r="200" spans="4:13" ht="15" customHeight="1">
      <c r="D200" s="718"/>
      <c r="F200" s="717"/>
      <c r="G200" s="717"/>
      <c r="K200" s="718"/>
      <c r="L200" s="717"/>
      <c r="M200" s="717"/>
    </row>
    <row r="201" spans="4:13" ht="15" customHeight="1">
      <c r="D201" s="718"/>
      <c r="F201" s="717"/>
      <c r="G201" s="717"/>
      <c r="K201" s="718"/>
      <c r="L201" s="717"/>
      <c r="M201" s="717"/>
    </row>
    <row r="202" spans="4:13" ht="15" customHeight="1">
      <c r="D202" s="718"/>
      <c r="F202" s="717"/>
      <c r="G202" s="717"/>
      <c r="K202" s="718"/>
      <c r="L202" s="717"/>
      <c r="M202" s="717"/>
    </row>
    <row r="203" spans="4:13" ht="15" customHeight="1">
      <c r="D203" s="718"/>
      <c r="F203" s="717"/>
      <c r="G203" s="717"/>
      <c r="K203" s="718"/>
      <c r="L203" s="717"/>
      <c r="M203" s="717"/>
    </row>
    <row r="204" spans="4:13" ht="15" customHeight="1">
      <c r="D204" s="718"/>
      <c r="F204" s="717"/>
      <c r="G204" s="717"/>
      <c r="K204" s="718"/>
      <c r="L204" s="717"/>
      <c r="M204" s="717"/>
    </row>
    <row r="205" spans="4:13" ht="15" customHeight="1">
      <c r="D205" s="718"/>
      <c r="F205" s="717"/>
      <c r="G205" s="717"/>
      <c r="K205" s="718"/>
      <c r="L205" s="717"/>
      <c r="M205" s="717"/>
    </row>
    <row r="206" spans="4:13" ht="15" customHeight="1">
      <c r="D206" s="718"/>
      <c r="F206" s="717"/>
      <c r="G206" s="717"/>
      <c r="K206" s="718"/>
      <c r="L206" s="717"/>
      <c r="M206" s="717"/>
    </row>
    <row r="207" spans="4:13" ht="15" customHeight="1">
      <c r="D207" s="718"/>
      <c r="F207" s="717"/>
      <c r="G207" s="717"/>
      <c r="K207" s="718"/>
      <c r="L207" s="717"/>
      <c r="M207" s="717"/>
    </row>
    <row r="208" spans="4:13" ht="15" customHeight="1">
      <c r="D208" s="718"/>
      <c r="F208" s="717"/>
      <c r="G208" s="717"/>
      <c r="K208" s="718"/>
      <c r="L208" s="717"/>
      <c r="M208" s="717"/>
    </row>
    <row r="209" spans="4:13" ht="15" customHeight="1">
      <c r="D209" s="718"/>
      <c r="F209" s="717"/>
      <c r="G209" s="717"/>
      <c r="L209" s="717"/>
      <c r="M209" s="717"/>
    </row>
    <row r="210" spans="4:13" ht="15" customHeight="1">
      <c r="D210" s="718"/>
      <c r="F210" s="717"/>
      <c r="G210" s="717"/>
      <c r="L210" s="717"/>
      <c r="M210" s="717"/>
    </row>
    <row r="211" spans="4:13" ht="15" customHeight="1">
      <c r="D211" s="718"/>
      <c r="F211" s="717"/>
      <c r="G211" s="717"/>
      <c r="L211" s="717"/>
      <c r="M211" s="717"/>
    </row>
    <row r="212" spans="4:13" ht="15" customHeight="1">
      <c r="D212" s="718"/>
      <c r="F212" s="717"/>
      <c r="G212" s="717"/>
      <c r="L212" s="717"/>
      <c r="M212" s="717"/>
    </row>
    <row r="213" spans="4:13" ht="15" customHeight="1">
      <c r="D213" s="718"/>
      <c r="F213" s="717"/>
      <c r="G213" s="717"/>
      <c r="L213" s="717"/>
      <c r="M213" s="717"/>
    </row>
    <row r="214" spans="4:13" ht="15" customHeight="1">
      <c r="D214" s="718"/>
      <c r="F214" s="717"/>
      <c r="G214" s="717"/>
      <c r="L214" s="717"/>
      <c r="M214" s="717"/>
    </row>
    <row r="215" spans="4:13" ht="15" customHeight="1">
      <c r="F215" s="717"/>
      <c r="G215" s="717"/>
      <c r="L215" s="717"/>
      <c r="M215" s="717"/>
    </row>
    <row r="216" spans="4:13" ht="15" customHeight="1">
      <c r="F216" s="717"/>
      <c r="G216" s="717"/>
      <c r="L216" s="717"/>
      <c r="M216" s="717"/>
    </row>
    <row r="217" spans="4:13" ht="15" customHeight="1">
      <c r="F217" s="717"/>
      <c r="G217" s="717"/>
      <c r="L217" s="717"/>
      <c r="M217" s="717"/>
    </row>
    <row r="218" spans="4:13" ht="15" customHeight="1">
      <c r="F218" s="717"/>
      <c r="G218" s="717"/>
      <c r="L218" s="717"/>
      <c r="M218" s="717"/>
    </row>
    <row r="219" spans="4:13" ht="15" customHeight="1">
      <c r="F219" s="717"/>
      <c r="G219" s="717"/>
      <c r="L219" s="717"/>
      <c r="M219" s="717"/>
    </row>
    <row r="220" spans="4:13" ht="15" customHeight="1">
      <c r="F220" s="717"/>
      <c r="G220" s="717"/>
      <c r="L220" s="717"/>
      <c r="M220" s="717"/>
    </row>
    <row r="221" spans="4:13" ht="15" customHeight="1">
      <c r="F221" s="717"/>
      <c r="G221" s="717"/>
      <c r="L221" s="717"/>
      <c r="M221" s="717"/>
    </row>
    <row r="222" spans="4:13" ht="15" customHeight="1">
      <c r="F222" s="717"/>
      <c r="G222" s="717"/>
      <c r="L222" s="717"/>
      <c r="M222" s="717"/>
    </row>
    <row r="223" spans="4:13" ht="15" customHeight="1">
      <c r="F223" s="717"/>
      <c r="G223" s="717"/>
      <c r="L223" s="717"/>
      <c r="M223" s="717"/>
    </row>
    <row r="224" spans="4:13" ht="15" customHeight="1">
      <c r="F224" s="717"/>
      <c r="G224" s="717"/>
      <c r="L224" s="717"/>
      <c r="M224" s="717"/>
    </row>
    <row r="225" spans="6:13" ht="15" customHeight="1">
      <c r="F225" s="717"/>
      <c r="G225" s="717"/>
      <c r="L225" s="717"/>
      <c r="M225" s="717"/>
    </row>
    <row r="226" spans="6:13" ht="15" customHeight="1">
      <c r="F226" s="717"/>
      <c r="G226" s="717"/>
      <c r="L226" s="717"/>
      <c r="M226" s="717"/>
    </row>
    <row r="227" spans="6:13" ht="15" customHeight="1">
      <c r="F227" s="717"/>
      <c r="G227" s="717"/>
      <c r="L227" s="717"/>
      <c r="M227" s="717"/>
    </row>
    <row r="228" spans="6:13" ht="15" customHeight="1">
      <c r="F228" s="717"/>
      <c r="G228" s="717"/>
      <c r="L228" s="717"/>
      <c r="M228" s="717"/>
    </row>
    <row r="229" spans="6:13" ht="15" customHeight="1">
      <c r="F229" s="717"/>
      <c r="G229" s="717"/>
      <c r="L229" s="717"/>
      <c r="M229" s="717"/>
    </row>
    <row r="230" spans="6:13" ht="15" customHeight="1">
      <c r="F230" s="717"/>
      <c r="G230" s="717"/>
      <c r="L230" s="717"/>
      <c r="M230" s="717"/>
    </row>
    <row r="231" spans="6:13" ht="15" customHeight="1">
      <c r="F231" s="717"/>
      <c r="G231" s="717"/>
      <c r="L231" s="717"/>
      <c r="M231" s="717"/>
    </row>
    <row r="232" spans="6:13" ht="15" customHeight="1">
      <c r="F232" s="717"/>
      <c r="G232" s="717"/>
      <c r="L232" s="717"/>
      <c r="M232" s="717"/>
    </row>
    <row r="233" spans="6:13" ht="15" customHeight="1">
      <c r="F233" s="717"/>
      <c r="G233" s="717"/>
      <c r="L233" s="717"/>
      <c r="M233" s="717"/>
    </row>
    <row r="234" spans="6:13" ht="15" customHeight="1">
      <c r="F234" s="717"/>
      <c r="G234" s="717"/>
      <c r="L234" s="717"/>
      <c r="M234" s="717"/>
    </row>
    <row r="235" spans="6:13" ht="15" customHeight="1">
      <c r="F235" s="717"/>
      <c r="G235" s="717"/>
      <c r="L235" s="717"/>
      <c r="M235" s="717"/>
    </row>
    <row r="236" spans="6:13" ht="15" customHeight="1">
      <c r="F236" s="717"/>
      <c r="G236" s="717"/>
      <c r="L236" s="717"/>
      <c r="M236" s="717"/>
    </row>
    <row r="237" spans="6:13" ht="15" customHeight="1">
      <c r="F237" s="717"/>
      <c r="G237" s="717"/>
      <c r="L237" s="717"/>
      <c r="M237" s="717"/>
    </row>
    <row r="238" spans="6:13" ht="15" customHeight="1">
      <c r="F238" s="717"/>
      <c r="G238" s="717"/>
      <c r="L238" s="717"/>
      <c r="M238" s="717"/>
    </row>
    <row r="239" spans="6:13" ht="15" customHeight="1">
      <c r="F239" s="717"/>
      <c r="G239" s="717"/>
      <c r="L239" s="717"/>
      <c r="M239" s="717"/>
    </row>
    <row r="240" spans="6:13" ht="15" customHeight="1">
      <c r="F240" s="717"/>
      <c r="G240" s="717"/>
      <c r="L240" s="717"/>
      <c r="M240" s="717"/>
    </row>
    <row r="241" spans="6:13" ht="15" customHeight="1">
      <c r="F241" s="717"/>
      <c r="G241" s="717"/>
      <c r="L241" s="717"/>
      <c r="M241" s="717"/>
    </row>
    <row r="242" spans="6:13" ht="15" customHeight="1">
      <c r="F242" s="717"/>
      <c r="G242" s="717"/>
      <c r="L242" s="717"/>
      <c r="M242" s="717"/>
    </row>
    <row r="243" spans="6:13" ht="15" customHeight="1">
      <c r="F243" s="717"/>
      <c r="G243" s="717"/>
      <c r="L243" s="717"/>
      <c r="M243" s="717"/>
    </row>
    <row r="244" spans="6:13" ht="15" customHeight="1">
      <c r="F244" s="717"/>
      <c r="G244" s="717"/>
      <c r="L244" s="717"/>
      <c r="M244" s="717"/>
    </row>
    <row r="245" spans="6:13" ht="15" customHeight="1">
      <c r="F245" s="717"/>
      <c r="G245" s="717"/>
      <c r="L245" s="717"/>
      <c r="M245" s="717"/>
    </row>
    <row r="246" spans="6:13" ht="15" customHeight="1">
      <c r="F246" s="717"/>
      <c r="G246" s="717"/>
      <c r="L246" s="717"/>
      <c r="M246" s="717"/>
    </row>
    <row r="247" spans="6:13" ht="15" customHeight="1">
      <c r="F247" s="717"/>
      <c r="G247" s="717"/>
      <c r="L247" s="717"/>
      <c r="M247" s="717"/>
    </row>
    <row r="248" spans="6:13" ht="15" customHeight="1">
      <c r="F248" s="717"/>
      <c r="G248" s="717"/>
      <c r="L248" s="717"/>
      <c r="M248" s="717"/>
    </row>
    <row r="249" spans="6:13" ht="15" customHeight="1">
      <c r="F249" s="717"/>
      <c r="G249" s="717"/>
      <c r="L249" s="717"/>
      <c r="M249" s="717"/>
    </row>
    <row r="250" spans="6:13" ht="15" customHeight="1">
      <c r="F250" s="717"/>
      <c r="G250" s="717"/>
      <c r="L250" s="717"/>
      <c r="M250" s="717"/>
    </row>
    <row r="251" spans="6:13" ht="15" customHeight="1">
      <c r="F251" s="717"/>
      <c r="G251" s="717"/>
      <c r="L251" s="717"/>
      <c r="M251" s="717"/>
    </row>
    <row r="252" spans="6:13" ht="15" customHeight="1">
      <c r="F252" s="717"/>
      <c r="G252" s="717"/>
      <c r="L252" s="717"/>
      <c r="M252" s="717"/>
    </row>
    <row r="253" spans="6:13" ht="15" customHeight="1">
      <c r="F253" s="717"/>
      <c r="G253" s="717"/>
      <c r="L253" s="717"/>
      <c r="M253" s="717"/>
    </row>
    <row r="254" spans="6:13" ht="15" customHeight="1">
      <c r="F254" s="717"/>
      <c r="G254" s="717"/>
      <c r="L254" s="717"/>
      <c r="M254" s="717"/>
    </row>
    <row r="255" spans="6:13" ht="15" customHeight="1">
      <c r="F255" s="717"/>
      <c r="G255" s="717"/>
      <c r="L255" s="717"/>
      <c r="M255" s="717"/>
    </row>
    <row r="256" spans="6:13" ht="15" customHeight="1">
      <c r="F256" s="717"/>
      <c r="G256" s="717"/>
      <c r="L256" s="717"/>
      <c r="M256" s="717"/>
    </row>
    <row r="257" spans="6:13" ht="15" customHeight="1">
      <c r="F257" s="717"/>
      <c r="G257" s="717"/>
      <c r="L257" s="717"/>
      <c r="M257" s="717"/>
    </row>
    <row r="258" spans="6:13" ht="15" customHeight="1">
      <c r="F258" s="717"/>
      <c r="G258" s="717"/>
      <c r="L258" s="717"/>
      <c r="M258" s="717"/>
    </row>
    <row r="259" spans="6:13" ht="15" customHeight="1">
      <c r="F259" s="717"/>
      <c r="G259" s="717"/>
      <c r="L259" s="717"/>
      <c r="M259" s="717"/>
    </row>
    <row r="260" spans="6:13" ht="15" customHeight="1">
      <c r="L260" s="717"/>
      <c r="M260" s="717"/>
    </row>
    <row r="261" spans="6:13" ht="15" customHeight="1">
      <c r="L261" s="717"/>
      <c r="M261" s="717"/>
    </row>
    <row r="262" spans="6:13" ht="15" customHeight="1">
      <c r="L262" s="717"/>
      <c r="M262" s="717"/>
    </row>
    <row r="263" spans="6:13" ht="15" customHeight="1">
      <c r="L263" s="717"/>
      <c r="M263" s="717"/>
    </row>
    <row r="264" spans="6:13" ht="15" customHeight="1">
      <c r="L264" s="717"/>
      <c r="M264" s="717"/>
    </row>
  </sheetData>
  <mergeCells count="1">
    <mergeCell ref="A9:L9"/>
  </mergeCells>
  <conditionalFormatting sqref="Q76:Q77 K189:K208 Q153:Q154 E179:P188 F178:P178 AI40 AI73:AI79 E70:E77 D70:D74 D176:D214 E176:P177 Q102:Q115 D102:D115 D18:E21 O174:Q174 O161:Q161 P38:Q43 O23:Q27 E22 Q54:Q74 E146:E149 D161:E161 D100:E101 AI51:AI61 AI67 D76:D79 AI29:AI31 D38:E43 D46:E51 D54:E69 E97:E99 E160 W119:W130 D174:F174 O147:P149 AI34:AI38 D23:E27 E126 W25:AH27 AI70:AI71 W69:AH71 D163:E168 H126:P126 D172:E173 H18:M27 H38:M43 H146:M149 H161:M161 H172:M174 N18:Q22 N38:O42 H46:Q51 H54:P77 O97:Q101 N146:P146 H160:Q160 H163:Q168 N172:Q173 E102:E117 O102:P117 F97:N117 D119:D126 E119:Q121 E153:P155 D158:Q158 E122:P122 Q122:Q126">
    <cfRule type="cellIs" dxfId="59" priority="60" operator="equal">
      <formula>0</formula>
    </cfRule>
  </conditionalFormatting>
  <conditionalFormatting sqref="B11:L12">
    <cfRule type="cellIs" dxfId="58" priority="59" operator="equal">
      <formula>0</formula>
    </cfRule>
  </conditionalFormatting>
  <conditionalFormatting sqref="M11">
    <cfRule type="cellIs" dxfId="57" priority="58" stopIfTrue="1" operator="notEqual">
      <formula>L11</formula>
    </cfRule>
  </conditionalFormatting>
  <conditionalFormatting sqref="M12">
    <cfRule type="cellIs" dxfId="56" priority="57" stopIfTrue="1" operator="notEqual">
      <formula>L12</formula>
    </cfRule>
  </conditionalFormatting>
  <conditionalFormatting sqref="Q116:Q117">
    <cfRule type="cellIs" dxfId="55" priority="54" operator="equal">
      <formula>0</formula>
    </cfRule>
  </conditionalFormatting>
  <conditionalFormatting sqref="D155">
    <cfRule type="cellIs" dxfId="54" priority="56" operator="equal">
      <formula>0</formula>
    </cfRule>
  </conditionalFormatting>
  <conditionalFormatting sqref="Q75 Q146:Q149">
    <cfRule type="cellIs" dxfId="53" priority="55" operator="equal">
      <formula>0</formula>
    </cfRule>
  </conditionalFormatting>
  <conditionalFormatting sqref="D116:D117">
    <cfRule type="cellIs" dxfId="52" priority="53" operator="equal">
      <formula>0</formula>
    </cfRule>
  </conditionalFormatting>
  <conditionalFormatting sqref="D75">
    <cfRule type="cellIs" dxfId="51" priority="52" operator="equal">
      <formula>0</formula>
    </cfRule>
  </conditionalFormatting>
  <conditionalFormatting sqref="AI18:AI20 AI25:AI26 AI44:AI49 AI42 AI81:AI84">
    <cfRule type="cellIs" dxfId="50" priority="51" operator="equal">
      <formula>0</formula>
    </cfRule>
  </conditionalFormatting>
  <conditionalFormatting sqref="W18:AE18 W19:AH21 W23:AH23 W29:AH32 W34:AH42 W44:AH49 W51:AH56 W58:AH67 W73:AH79 W81:AH83">
    <cfRule type="cellIs" dxfId="49" priority="50" operator="equal">
      <formula>0</formula>
    </cfRule>
  </conditionalFormatting>
  <conditionalFormatting sqref="AI69">
    <cfRule type="cellIs" dxfId="48" priority="49" operator="equal">
      <formula>0</formula>
    </cfRule>
  </conditionalFormatting>
  <conditionalFormatting sqref="AF18:AH18">
    <cfRule type="cellIs" dxfId="47" priority="48" operator="equal">
      <formula>0</formula>
    </cfRule>
  </conditionalFormatting>
  <conditionalFormatting sqref="AI39">
    <cfRule type="cellIs" dxfId="46" priority="47" operator="equal">
      <formula>0</formula>
    </cfRule>
  </conditionalFormatting>
  <conditionalFormatting sqref="AI41">
    <cfRule type="cellIs" dxfId="45" priority="46" operator="equal">
      <formula>0</formula>
    </cfRule>
  </conditionalFormatting>
  <conditionalFormatting sqref="Q155">
    <cfRule type="cellIs" dxfId="44" priority="45" operator="equal">
      <formula>0</formula>
    </cfRule>
  </conditionalFormatting>
  <conditionalFormatting sqref="D22">
    <cfRule type="cellIs" dxfId="43" priority="44" operator="equal">
      <formula>0</formula>
    </cfRule>
  </conditionalFormatting>
  <conditionalFormatting sqref="N147:N149 N161 N174 N23:N27 N43:O43">
    <cfRule type="cellIs" dxfId="42" priority="43" operator="equal">
      <formula>0</formula>
    </cfRule>
  </conditionalFormatting>
  <conditionalFormatting sqref="M78:Q79 E78:E79">
    <cfRule type="cellIs" dxfId="41" priority="42" operator="equal">
      <formula>0</formula>
    </cfRule>
  </conditionalFormatting>
  <conditionalFormatting sqref="K78:K79">
    <cfRule type="cellIs" dxfId="40" priority="41" operator="equal">
      <formula>0</formula>
    </cfRule>
  </conditionalFormatting>
  <conditionalFormatting sqref="L78:L79">
    <cfRule type="cellIs" dxfId="39" priority="40" operator="equal">
      <formula>0</formula>
    </cfRule>
  </conditionalFormatting>
  <conditionalFormatting sqref="H78:J79">
    <cfRule type="cellIs" dxfId="38" priority="39" operator="equal">
      <formula>0</formula>
    </cfRule>
  </conditionalFormatting>
  <conditionalFormatting sqref="AI62:AI66">
    <cfRule type="cellIs" dxfId="37" priority="38" operator="equal">
      <formula>0</formula>
    </cfRule>
  </conditionalFormatting>
  <conditionalFormatting sqref="D97:D99">
    <cfRule type="cellIs" dxfId="36" priority="37" operator="equal">
      <formula>0</formula>
    </cfRule>
  </conditionalFormatting>
  <conditionalFormatting sqref="D146:D149">
    <cfRule type="cellIs" dxfId="35" priority="36" operator="equal">
      <formula>0</formula>
    </cfRule>
  </conditionalFormatting>
  <conditionalFormatting sqref="D153:D154">
    <cfRule type="cellIs" dxfId="34" priority="35" operator="equal">
      <formula>0</formula>
    </cfRule>
  </conditionalFormatting>
  <conditionalFormatting sqref="D160">
    <cfRule type="cellIs" dxfId="33" priority="34" operator="equal">
      <formula>0</formula>
    </cfRule>
  </conditionalFormatting>
  <conditionalFormatting sqref="W57:AH57">
    <cfRule type="cellIs" dxfId="32" priority="33" operator="equal">
      <formula>0</formula>
    </cfRule>
  </conditionalFormatting>
  <conditionalFormatting sqref="E123:E125 H123:P125">
    <cfRule type="cellIs" dxfId="31" priority="32" operator="equal">
      <formula>0</formula>
    </cfRule>
  </conditionalFormatting>
  <conditionalFormatting sqref="F146:F149 F38:F43 F46:F51 F54:F77 F160:F161 F172:F173 F18:F27 F126 F163:F168">
    <cfRule type="cellIs" dxfId="30" priority="31" operator="equal">
      <formula>0</formula>
    </cfRule>
  </conditionalFormatting>
  <conditionalFormatting sqref="F78:F79">
    <cfRule type="cellIs" dxfId="29" priority="30" operator="equal">
      <formula>0</formula>
    </cfRule>
  </conditionalFormatting>
  <conditionalFormatting sqref="F123:F125">
    <cfRule type="cellIs" dxfId="28" priority="29" operator="equal">
      <formula>0</formula>
    </cfRule>
  </conditionalFormatting>
  <conditionalFormatting sqref="G174">
    <cfRule type="cellIs" dxfId="27" priority="28" operator="equal">
      <formula>0</formula>
    </cfRule>
  </conditionalFormatting>
  <conditionalFormatting sqref="G146:G149 G38:G43 G46:G51 G54:G77 G160:G161 G172:G173 G18:G27 G126 G163:G168">
    <cfRule type="cellIs" dxfId="26" priority="27" operator="equal">
      <formula>0</formula>
    </cfRule>
  </conditionalFormatting>
  <conditionalFormatting sqref="G78:G79">
    <cfRule type="cellIs" dxfId="25" priority="26" operator="equal">
      <formula>0</formula>
    </cfRule>
  </conditionalFormatting>
  <conditionalFormatting sqref="G123:G125">
    <cfRule type="cellIs" dxfId="24" priority="25" operator="equal">
      <formula>0</formula>
    </cfRule>
  </conditionalFormatting>
  <conditionalFormatting sqref="AN26:AN29 AN75:AN79 AN46:AN50 AN82:AN83 AN18:AN20 AN85 AN38:AN43 AN71:AN72 AN32:AN34 AN53:AN67">
    <cfRule type="cellIs" dxfId="23" priority="24" operator="equal">
      <formula>0</formula>
    </cfRule>
  </conditionalFormatting>
  <conditionalFormatting sqref="AN84">
    <cfRule type="cellIs" dxfId="22" priority="22" operator="equal">
      <formula>0</formula>
    </cfRule>
  </conditionalFormatting>
  <conditionalFormatting sqref="AN70">
    <cfRule type="cellIs" dxfId="21" priority="23" operator="equal">
      <formula>0</formula>
    </cfRule>
  </conditionalFormatting>
  <conditionalFormatting sqref="D29 D30:Q35 E28:P29">
    <cfRule type="cellIs" dxfId="20" priority="21" operator="equal">
      <formula>0</formula>
    </cfRule>
  </conditionalFormatting>
  <conditionalFormatting sqref="D28">
    <cfRule type="cellIs" dxfId="19" priority="20" operator="equal">
      <formula>0</formula>
    </cfRule>
  </conditionalFormatting>
  <conditionalFormatting sqref="Q28:Q29">
    <cfRule type="cellIs" dxfId="18" priority="19" operator="equal">
      <formula>0</formula>
    </cfRule>
  </conditionalFormatting>
  <conditionalFormatting sqref="F80:Q86 E87:Q94">
    <cfRule type="cellIs" dxfId="17" priority="18" operator="equal">
      <formula>0</formula>
    </cfRule>
  </conditionalFormatting>
  <conditionalFormatting sqref="E80:E86">
    <cfRule type="cellIs" dxfId="16" priority="17" operator="equal">
      <formula>0</formula>
    </cfRule>
  </conditionalFormatting>
  <conditionalFormatting sqref="D80:D86">
    <cfRule type="cellIs" dxfId="15" priority="16" operator="equal">
      <formula>0</formula>
    </cfRule>
  </conditionalFormatting>
  <conditionalFormatting sqref="E118:Q118">
    <cfRule type="cellIs" dxfId="14" priority="15" operator="equal">
      <formula>0</formula>
    </cfRule>
  </conditionalFormatting>
  <conditionalFormatting sqref="D118">
    <cfRule type="cellIs" dxfId="13" priority="14" operator="equal">
      <formula>0</formula>
    </cfRule>
  </conditionalFormatting>
  <conditionalFormatting sqref="Q127:Q128 E127:P143 D127">
    <cfRule type="cellIs" dxfId="12" priority="13" operator="equal">
      <formula>0</formula>
    </cfRule>
  </conditionalFormatting>
  <conditionalFormatting sqref="D128:D129">
    <cfRule type="cellIs" dxfId="11" priority="12" operator="equal">
      <formula>0</formula>
    </cfRule>
  </conditionalFormatting>
  <conditionalFormatting sqref="D130">
    <cfRule type="cellIs" dxfId="10" priority="11" operator="equal">
      <formula>0</formula>
    </cfRule>
  </conditionalFormatting>
  <conditionalFormatting sqref="O150:P150 E150:M150">
    <cfRule type="cellIs" dxfId="9" priority="10" operator="equal">
      <formula>0</formula>
    </cfRule>
  </conditionalFormatting>
  <conditionalFormatting sqref="Q150">
    <cfRule type="cellIs" dxfId="8" priority="9" operator="equal">
      <formula>0</formula>
    </cfRule>
  </conditionalFormatting>
  <conditionalFormatting sqref="N150">
    <cfRule type="cellIs" dxfId="7" priority="8" operator="equal">
      <formula>0</formula>
    </cfRule>
  </conditionalFormatting>
  <conditionalFormatting sqref="D150">
    <cfRule type="cellIs" dxfId="6" priority="7" operator="equal">
      <formula>0</formula>
    </cfRule>
  </conditionalFormatting>
  <conditionalFormatting sqref="E156:P157">
    <cfRule type="cellIs" dxfId="5" priority="6" operator="equal">
      <formula>0</formula>
    </cfRule>
  </conditionalFormatting>
  <conditionalFormatting sqref="D156:D157">
    <cfRule type="cellIs" dxfId="4" priority="5" operator="equal">
      <formula>0</formula>
    </cfRule>
  </conditionalFormatting>
  <conditionalFormatting sqref="E169:Q169">
    <cfRule type="cellIs" dxfId="3" priority="4" operator="equal">
      <formula>0</formula>
    </cfRule>
  </conditionalFormatting>
  <conditionalFormatting sqref="D87:D94">
    <cfRule type="cellIs" dxfId="2" priority="3" operator="equal">
      <formula>0</formula>
    </cfRule>
  </conditionalFormatting>
  <conditionalFormatting sqref="D131:D143">
    <cfRule type="cellIs" dxfId="1" priority="2" operator="equal">
      <formula>0</formula>
    </cfRule>
  </conditionalFormatting>
  <conditionalFormatting sqref="D169">
    <cfRule type="cellIs" dxfId="0" priority="1" operator="equal">
      <formula>0</formula>
    </cfRule>
  </conditionalFormatting>
  <printOptions horizontalCentered="1"/>
  <pageMargins left="0.39370078740157483" right="0.39370078740157483" top="0.39370078740157483" bottom="0.39370078740157483" header="0.31496062992125984" footer="0.31496062992125984"/>
  <pageSetup paperSize="9" scale="5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150"/>
  <sheetViews>
    <sheetView topLeftCell="A40" zoomScale="70" zoomScaleNormal="70" workbookViewId="0">
      <selection activeCell="H81" sqref="H81"/>
    </sheetView>
  </sheetViews>
  <sheetFormatPr baseColWidth="10" defaultColWidth="9.109375" defaultRowHeight="13.2"/>
  <cols>
    <col min="1" max="1" width="3.6640625" customWidth="1"/>
    <col min="2" max="2" width="50.88671875" customWidth="1"/>
    <col min="3" max="3" width="16.88671875" customWidth="1"/>
    <col min="4" max="4" width="24.5546875" customWidth="1"/>
    <col min="5" max="5" width="14.109375" customWidth="1"/>
    <col min="6" max="6" width="14.44140625" customWidth="1"/>
    <col min="7" max="7" width="14.109375" customWidth="1"/>
    <col min="8" max="8" width="13.6640625" customWidth="1"/>
    <col min="9" max="9" width="18.5546875" customWidth="1"/>
    <col min="10" max="14" width="13" customWidth="1"/>
    <col min="15" max="15" width="2.33203125" customWidth="1"/>
    <col min="16" max="16" width="2.44140625" customWidth="1"/>
    <col min="17" max="17" width="16.6640625" customWidth="1"/>
    <col min="18" max="18" width="14.109375" customWidth="1"/>
    <col min="19" max="19" width="12.88671875" customWidth="1"/>
    <col min="20" max="20" width="13" customWidth="1"/>
    <col min="21" max="21" width="13.88671875" customWidth="1"/>
    <col min="22" max="23" width="11.33203125" customWidth="1"/>
    <col min="24" max="24" width="11.44140625" customWidth="1"/>
    <col min="25" max="25" width="14" customWidth="1"/>
    <col min="26" max="26" width="11" customWidth="1"/>
    <col min="27" max="27" width="11.33203125" customWidth="1"/>
    <col min="28" max="29" width="2.88671875" customWidth="1"/>
    <col min="30" max="30" width="13.88671875" customWidth="1"/>
    <col min="31" max="31" width="14.109375" customWidth="1"/>
    <col min="32" max="32" width="20.33203125" customWidth="1"/>
    <col min="33" max="33" width="11.33203125" customWidth="1"/>
    <col min="34" max="34" width="20.5546875" customWidth="1"/>
    <col min="35" max="35" width="17.88671875" customWidth="1"/>
    <col min="36" max="40" width="11.33203125" customWidth="1"/>
  </cols>
  <sheetData>
    <row r="1" spans="2:35">
      <c r="I1" s="3"/>
    </row>
    <row r="3" spans="2:35">
      <c r="B3" s="1228" t="s">
        <v>39</v>
      </c>
      <c r="C3" s="1228"/>
      <c r="D3" s="1228"/>
      <c r="E3" s="1228"/>
      <c r="F3" s="1228"/>
      <c r="G3" s="1228"/>
      <c r="H3" s="1228"/>
      <c r="I3" s="1228"/>
    </row>
    <row r="4" spans="2:35">
      <c r="B4" s="1228" t="s">
        <v>40</v>
      </c>
      <c r="C4" s="1228"/>
      <c r="D4" s="1228"/>
      <c r="E4" s="1228"/>
      <c r="F4" s="1228"/>
      <c r="G4" s="1228"/>
      <c r="H4" s="1228"/>
      <c r="I4" s="1228"/>
    </row>
    <row r="5" spans="2:35" ht="17.399999999999999">
      <c r="B5" s="1228" t="s">
        <v>98</v>
      </c>
      <c r="C5" s="1228"/>
      <c r="D5" s="1228"/>
      <c r="E5" s="1228"/>
      <c r="F5" s="1228"/>
      <c r="G5" s="1228"/>
      <c r="H5" s="1228"/>
      <c r="I5" s="1228"/>
      <c r="Q5" s="1239" t="s">
        <v>303</v>
      </c>
      <c r="R5" s="1239"/>
      <c r="S5" s="1239"/>
      <c r="T5" s="1239"/>
      <c r="U5" s="1239"/>
      <c r="V5" s="1239"/>
      <c r="AD5" s="1239" t="s">
        <v>304</v>
      </c>
      <c r="AE5" s="1239"/>
      <c r="AF5" s="1239"/>
      <c r="AG5" s="1239"/>
      <c r="AH5" s="1239"/>
      <c r="AI5" s="1239"/>
    </row>
    <row r="6" spans="2:35" ht="13.8" thickBot="1">
      <c r="B6" s="9"/>
      <c r="C6" s="10"/>
      <c r="D6" s="10"/>
      <c r="E6" s="10"/>
      <c r="F6" s="10"/>
      <c r="G6" s="10"/>
      <c r="H6" s="10"/>
      <c r="I6" s="10"/>
    </row>
    <row r="7" spans="2:35">
      <c r="B7" s="11" t="s">
        <v>41</v>
      </c>
      <c r="C7" s="12" t="s">
        <v>42</v>
      </c>
      <c r="D7" s="12">
        <v>2020</v>
      </c>
      <c r="E7" s="12">
        <v>2021</v>
      </c>
      <c r="F7" s="12">
        <v>2022</v>
      </c>
      <c r="G7" s="12">
        <v>2023</v>
      </c>
      <c r="H7" s="12">
        <v>2024</v>
      </c>
      <c r="I7" s="12">
        <v>2025</v>
      </c>
      <c r="Q7" s="12">
        <v>2020</v>
      </c>
      <c r="R7" s="12">
        <v>2021</v>
      </c>
      <c r="S7" s="12">
        <v>2022</v>
      </c>
      <c r="T7" s="12">
        <v>2023</v>
      </c>
      <c r="U7" s="12">
        <v>2024</v>
      </c>
      <c r="V7" s="12">
        <v>2025</v>
      </c>
      <c r="AD7" s="12">
        <v>2012</v>
      </c>
      <c r="AE7" s="12">
        <v>2013</v>
      </c>
      <c r="AF7" s="12">
        <v>2014</v>
      </c>
      <c r="AG7" s="12">
        <v>2015</v>
      </c>
      <c r="AH7" s="12">
        <v>2016</v>
      </c>
      <c r="AI7" s="13">
        <v>2017</v>
      </c>
    </row>
    <row r="8" spans="2:35" ht="15">
      <c r="B8" s="113" t="s">
        <v>43</v>
      </c>
      <c r="C8" s="114" t="s">
        <v>44</v>
      </c>
      <c r="D8" s="115"/>
      <c r="E8" s="115">
        <v>1.8700000000000001E-2</v>
      </c>
      <c r="F8" s="115">
        <v>1.8700000000000001E-2</v>
      </c>
      <c r="G8" s="115">
        <v>1.8700000000000001E-2</v>
      </c>
      <c r="H8" s="115">
        <v>1.8700000000000001E-2</v>
      </c>
      <c r="I8" s="116">
        <v>1.8700000000000001E-2</v>
      </c>
      <c r="J8" s="117"/>
      <c r="M8" s="14"/>
      <c r="Q8" s="115"/>
      <c r="R8" s="115">
        <v>2.0299999999999999E-2</v>
      </c>
      <c r="S8" s="115">
        <v>2.0299999999999999E-2</v>
      </c>
      <c r="T8" s="115">
        <v>2.0299999999999999E-2</v>
      </c>
      <c r="U8" s="115">
        <v>2.0299999999999999E-2</v>
      </c>
      <c r="V8" s="116">
        <v>2.0299999999999999E-2</v>
      </c>
      <c r="AD8" s="115"/>
      <c r="AE8" s="115">
        <v>2.0299999999999999E-2</v>
      </c>
      <c r="AF8" s="115">
        <v>2.0299999999999999E-2</v>
      </c>
      <c r="AG8" s="115">
        <v>2.0299999999999999E-2</v>
      </c>
      <c r="AH8" s="115">
        <v>2.0299999999999999E-2</v>
      </c>
      <c r="AI8" s="116">
        <v>2.0299999999999999E-2</v>
      </c>
    </row>
    <row r="9" spans="2:35">
      <c r="B9" s="118" t="s">
        <v>45</v>
      </c>
      <c r="C9" s="119" t="s">
        <v>44</v>
      </c>
      <c r="D9" s="120"/>
      <c r="E9" s="120">
        <v>1.32E-2</v>
      </c>
      <c r="F9" s="120">
        <v>1.32E-2</v>
      </c>
      <c r="G9" s="120">
        <v>1.32E-2</v>
      </c>
      <c r="H9" s="120">
        <v>1.32E-2</v>
      </c>
      <c r="I9" s="121">
        <v>1.32E-2</v>
      </c>
      <c r="J9" s="117"/>
      <c r="Q9" s="120"/>
      <c r="R9" s="120">
        <v>7.7999999999999996E-3</v>
      </c>
      <c r="S9" s="120">
        <v>7.7999999999999996E-3</v>
      </c>
      <c r="T9" s="120">
        <v>7.7999999999999996E-3</v>
      </c>
      <c r="U9" s="120">
        <v>7.7999999999999996E-3</v>
      </c>
      <c r="V9" s="121">
        <v>7.7999999999999996E-3</v>
      </c>
      <c r="AD9" s="120"/>
      <c r="AE9" s="120">
        <v>7.7999999999999996E-3</v>
      </c>
      <c r="AF9" s="120">
        <v>7.7999999999999996E-3</v>
      </c>
      <c r="AG9" s="120">
        <v>7.7999999999999996E-3</v>
      </c>
      <c r="AH9" s="120">
        <v>7.7999999999999996E-3</v>
      </c>
      <c r="AI9" s="121">
        <v>7.7999999999999996E-3</v>
      </c>
    </row>
    <row r="10" spans="2:35">
      <c r="B10" s="118" t="s">
        <v>241</v>
      </c>
      <c r="C10" s="119" t="s">
        <v>44</v>
      </c>
      <c r="D10" s="120">
        <v>3.3385882564188139E-2</v>
      </c>
      <c r="E10" s="120"/>
      <c r="F10" s="120"/>
      <c r="G10" s="120"/>
      <c r="H10" s="120"/>
      <c r="I10" s="121"/>
      <c r="J10" s="117"/>
      <c r="Q10" s="120">
        <v>0.03</v>
      </c>
      <c r="R10" s="120"/>
      <c r="S10" s="120"/>
      <c r="T10" s="120"/>
      <c r="U10" s="120"/>
      <c r="V10" s="121"/>
      <c r="AD10" s="120">
        <v>0.03</v>
      </c>
      <c r="AE10" s="120"/>
      <c r="AF10" s="120"/>
      <c r="AG10" s="120"/>
      <c r="AH10" s="120"/>
      <c r="AI10" s="121"/>
    </row>
    <row r="11" spans="2:35">
      <c r="B11" s="122" t="s">
        <v>46</v>
      </c>
      <c r="C11" s="123" t="s">
        <v>44</v>
      </c>
      <c r="D11" s="124">
        <v>6.83E-2</v>
      </c>
      <c r="E11" s="125"/>
      <c r="F11" s="125"/>
      <c r="G11" s="125"/>
      <c r="H11" s="125"/>
      <c r="I11" s="126"/>
      <c r="J11" s="420"/>
      <c r="Q11" s="124">
        <v>7.9000000000000001E-2</v>
      </c>
      <c r="R11" s="125"/>
      <c r="S11" s="125"/>
      <c r="T11" s="125"/>
      <c r="U11" s="125"/>
      <c r="V11" s="126"/>
      <c r="AD11" s="124">
        <v>7.9000000000000001E-2</v>
      </c>
      <c r="AE11" s="125"/>
      <c r="AF11" s="125"/>
      <c r="AG11" s="125"/>
      <c r="AH11" s="125"/>
      <c r="AI11" s="126"/>
    </row>
    <row r="12" spans="2:35" ht="13.5" customHeight="1">
      <c r="B12" s="15" t="s">
        <v>47</v>
      </c>
      <c r="C12" s="114"/>
      <c r="D12" s="127"/>
      <c r="E12" s="128"/>
      <c r="F12" s="129"/>
      <c r="G12" s="128"/>
      <c r="H12" s="130"/>
      <c r="I12" s="131"/>
      <c r="Q12" s="516"/>
      <c r="R12" s="128"/>
      <c r="S12" s="129"/>
      <c r="T12" s="128"/>
      <c r="U12" s="130"/>
      <c r="V12" s="131"/>
      <c r="AD12" s="516"/>
      <c r="AE12" s="128"/>
      <c r="AF12" s="129"/>
      <c r="AG12" s="128"/>
      <c r="AH12" s="130"/>
      <c r="AI12" s="131"/>
    </row>
    <row r="13" spans="2:35">
      <c r="B13" s="118" t="s">
        <v>242</v>
      </c>
      <c r="C13" s="119" t="s">
        <v>49</v>
      </c>
      <c r="D13" s="421">
        <f>+[27]ACTIVOS!C31+[27]ACTIVOS!C214</f>
        <v>364992.40393933386</v>
      </c>
      <c r="E13" s="422">
        <f>+[27]ACTIVOS!D31+[27]ACTIVOS!D214</f>
        <v>368871.18749933387</v>
      </c>
      <c r="F13" s="421">
        <f>+[27]ACTIVOS!E31+[27]ACTIVOS!E214</f>
        <v>417172.80552941194</v>
      </c>
      <c r="G13" s="422">
        <f>+[27]ACTIVOS!F31+[27]ACTIVOS!F214</f>
        <v>498609.43320328946</v>
      </c>
      <c r="H13" s="422">
        <f>+[27]ACTIVOS!G31+[27]ACTIVOS!G214</f>
        <v>541059.58501959464</v>
      </c>
      <c r="I13" s="423">
        <f>+[27]ACTIVOS!H31+[27]ACTIVOS!H214</f>
        <v>676238.41561731615</v>
      </c>
      <c r="Q13" s="517">
        <v>364992.40393933386</v>
      </c>
      <c r="R13" s="422">
        <v>371913.35220933385</v>
      </c>
      <c r="S13" s="421">
        <v>427771.5223345292</v>
      </c>
      <c r="T13" s="422">
        <v>499609.43320328946</v>
      </c>
      <c r="U13" s="422">
        <v>542059.58501959464</v>
      </c>
      <c r="V13" s="423">
        <v>677238.41561731615</v>
      </c>
      <c r="AD13" s="517">
        <f t="shared" ref="AD13:AI28" si="0">+D13-Q13</f>
        <v>0</v>
      </c>
      <c r="AE13" s="422">
        <f t="shared" si="0"/>
        <v>-3042.1647099999827</v>
      </c>
      <c r="AF13" s="421">
        <f t="shared" si="0"/>
        <v>-10598.716805117263</v>
      </c>
      <c r="AG13" s="422">
        <f t="shared" si="0"/>
        <v>-1000</v>
      </c>
      <c r="AH13" s="422">
        <f t="shared" si="0"/>
        <v>-1000</v>
      </c>
      <c r="AI13" s="423">
        <f t="shared" si="0"/>
        <v>-1000</v>
      </c>
    </row>
    <row r="14" spans="2:35">
      <c r="B14" s="118" t="s">
        <v>243</v>
      </c>
      <c r="C14" s="119"/>
      <c r="D14" s="421">
        <f>+[27]ACTIVOS!C58</f>
        <v>0</v>
      </c>
      <c r="E14" s="422">
        <f>+[27]ACTIVOS!D58</f>
        <v>0</v>
      </c>
      <c r="F14" s="421">
        <f>+[27]ACTIVOS!E58</f>
        <v>0</v>
      </c>
      <c r="G14" s="422">
        <f>+[27]ACTIVOS!F58</f>
        <v>0</v>
      </c>
      <c r="H14" s="422">
        <f>+[27]ACTIVOS!G58</f>
        <v>0</v>
      </c>
      <c r="I14" s="423">
        <f>+[27]ACTIVOS!H58</f>
        <v>285457.82998149999</v>
      </c>
      <c r="Q14" s="517">
        <v>0</v>
      </c>
      <c r="R14" s="422">
        <v>0</v>
      </c>
      <c r="S14" s="421">
        <v>0</v>
      </c>
      <c r="T14" s="422">
        <v>0</v>
      </c>
      <c r="U14" s="422">
        <v>0</v>
      </c>
      <c r="V14" s="423">
        <v>285457.82998149999</v>
      </c>
      <c r="AD14" s="517">
        <f t="shared" si="0"/>
        <v>0</v>
      </c>
      <c r="AE14" s="422">
        <f t="shared" si="0"/>
        <v>0</v>
      </c>
      <c r="AF14" s="421">
        <f t="shared" si="0"/>
        <v>0</v>
      </c>
      <c r="AG14" s="422">
        <f t="shared" si="0"/>
        <v>0</v>
      </c>
      <c r="AH14" s="422">
        <f t="shared" si="0"/>
        <v>0</v>
      </c>
      <c r="AI14" s="423">
        <f t="shared" si="0"/>
        <v>0</v>
      </c>
    </row>
    <row r="15" spans="2:35">
      <c r="B15" s="118" t="s">
        <v>244</v>
      </c>
      <c r="C15" s="119" t="s">
        <v>49</v>
      </c>
      <c r="D15" s="421">
        <f>+[27]ACTIVOS!C114</f>
        <v>21486.153981225449</v>
      </c>
      <c r="E15" s="422">
        <f>+[27]ACTIVOS!D114</f>
        <v>21486.153981225449</v>
      </c>
      <c r="F15" s="421">
        <f>+[27]ACTIVOS!E114</f>
        <v>21486.153981225449</v>
      </c>
      <c r="G15" s="422">
        <f>+[27]ACTIVOS!F114</f>
        <v>37734.153981225449</v>
      </c>
      <c r="H15" s="422">
        <f>+[27]ACTIVOS!G114</f>
        <v>37734.153981225449</v>
      </c>
      <c r="I15" s="423">
        <f>+[27]ACTIVOS!H114</f>
        <v>37734.153981225449</v>
      </c>
      <c r="Q15" s="517">
        <v>21486.153981225449</v>
      </c>
      <c r="R15" s="422">
        <v>29937.153981225449</v>
      </c>
      <c r="S15" s="421">
        <v>37734.153981225449</v>
      </c>
      <c r="T15" s="422">
        <v>37734.153981225449</v>
      </c>
      <c r="U15" s="422">
        <v>37734.153981225449</v>
      </c>
      <c r="V15" s="423">
        <v>37734.153981225449</v>
      </c>
      <c r="AD15" s="517">
        <f t="shared" si="0"/>
        <v>0</v>
      </c>
      <c r="AE15" s="422">
        <f t="shared" si="0"/>
        <v>-8451</v>
      </c>
      <c r="AF15" s="421">
        <f t="shared" si="0"/>
        <v>-16248</v>
      </c>
      <c r="AG15" s="422">
        <f t="shared" si="0"/>
        <v>0</v>
      </c>
      <c r="AH15" s="422">
        <f t="shared" si="0"/>
        <v>0</v>
      </c>
      <c r="AI15" s="423">
        <f t="shared" si="0"/>
        <v>0</v>
      </c>
    </row>
    <row r="16" spans="2:35">
      <c r="B16" s="118" t="s">
        <v>245</v>
      </c>
      <c r="C16" s="119" t="s">
        <v>49</v>
      </c>
      <c r="D16" s="421">
        <f>+[27]ACTIVOS!C143</f>
        <v>2000.9</v>
      </c>
      <c r="E16" s="422">
        <f>+[27]ACTIVOS!D143</f>
        <v>2000.9</v>
      </c>
      <c r="F16" s="421">
        <f>+[27]ACTIVOS!E143</f>
        <v>2000.9</v>
      </c>
      <c r="G16" s="422">
        <f>+[27]ACTIVOS!F143</f>
        <v>2000.9</v>
      </c>
      <c r="H16" s="422">
        <f>+[27]ACTIVOS!G143</f>
        <v>0</v>
      </c>
      <c r="I16" s="423">
        <f>+[27]ACTIVOS!H143</f>
        <v>0</v>
      </c>
      <c r="Q16" s="517">
        <v>2000.9</v>
      </c>
      <c r="R16" s="422">
        <v>2000.9</v>
      </c>
      <c r="S16" s="421">
        <v>2000.9</v>
      </c>
      <c r="T16" s="422">
        <v>2000.9</v>
      </c>
      <c r="U16" s="422">
        <v>0</v>
      </c>
      <c r="V16" s="423">
        <v>0</v>
      </c>
      <c r="AD16" s="517">
        <f t="shared" si="0"/>
        <v>0</v>
      </c>
      <c r="AE16" s="422">
        <f t="shared" si="0"/>
        <v>0</v>
      </c>
      <c r="AF16" s="421">
        <f t="shared" si="0"/>
        <v>0</v>
      </c>
      <c r="AG16" s="422">
        <f t="shared" si="0"/>
        <v>0</v>
      </c>
      <c r="AH16" s="422">
        <f t="shared" si="0"/>
        <v>0</v>
      </c>
      <c r="AI16" s="423">
        <f t="shared" si="0"/>
        <v>0</v>
      </c>
    </row>
    <row r="17" spans="2:35">
      <c r="B17" s="118" t="s">
        <v>99</v>
      </c>
      <c r="C17" s="119" t="s">
        <v>49</v>
      </c>
      <c r="D17" s="421">
        <f>+[27]ACTIVOS!C32+[27]ACTIVOS!C215</f>
        <v>208150.0790332263</v>
      </c>
      <c r="E17" s="422">
        <f>+[27]ACTIVOS!D32+[27]ACTIVOS!D215</f>
        <v>200777.28098557875</v>
      </c>
      <c r="F17" s="421">
        <f>+[27]ACTIVOS!E32+[27]ACTIVOS!E215</f>
        <v>237710.95390120932</v>
      </c>
      <c r="G17" s="422">
        <f>+[27]ACTIVOS!F32+[27]ACTIVOS!F215</f>
        <v>306330.58791973698</v>
      </c>
      <c r="H17" s="422">
        <f>+[27]ACTIVOS!G32+[27]ACTIVOS!G215</f>
        <v>333520.64725047606</v>
      </c>
      <c r="I17" s="423">
        <f>+[27]ACTIVOS!H32+[27]ACTIVOS!H215</f>
        <v>452165.88080814213</v>
      </c>
      <c r="Q17" s="517">
        <v>208150.0790332263</v>
      </c>
      <c r="R17" s="422">
        <v>203819.44569557876</v>
      </c>
      <c r="S17" s="421">
        <v>248218.4057650266</v>
      </c>
      <c r="T17" s="422">
        <v>306921.36147428351</v>
      </c>
      <c r="U17" s="422">
        <v>334081.42080502253</v>
      </c>
      <c r="V17" s="423">
        <v>452696.65436268866</v>
      </c>
      <c r="AD17" s="517">
        <f t="shared" si="0"/>
        <v>0</v>
      </c>
      <c r="AE17" s="422">
        <f t="shared" si="0"/>
        <v>-3042.1647100000118</v>
      </c>
      <c r="AF17" s="421">
        <f t="shared" si="0"/>
        <v>-10507.451863817289</v>
      </c>
      <c r="AG17" s="422">
        <f t="shared" si="0"/>
        <v>-590.7735545465257</v>
      </c>
      <c r="AH17" s="422">
        <f t="shared" si="0"/>
        <v>-560.77355454646749</v>
      </c>
      <c r="AI17" s="423">
        <f t="shared" si="0"/>
        <v>-530.7735545465257</v>
      </c>
    </row>
    <row r="18" spans="2:35">
      <c r="B18" s="118" t="s">
        <v>246</v>
      </c>
      <c r="C18" s="119"/>
      <c r="D18" s="421">
        <f>+[27]ACTIVOS!C59</f>
        <v>0</v>
      </c>
      <c r="E18" s="422">
        <f>+[27]ACTIVOS!D59</f>
        <v>0</v>
      </c>
      <c r="F18" s="421">
        <f>+[27]ACTIVOS!E59</f>
        <v>0</v>
      </c>
      <c r="G18" s="422">
        <f>+[27]ACTIVOS!F59</f>
        <v>0</v>
      </c>
      <c r="H18" s="422">
        <f>+[27]ACTIVOS!G59</f>
        <v>0</v>
      </c>
      <c r="I18" s="423">
        <f>+[27]ACTIVOS!H59</f>
        <v>285457.82998149999</v>
      </c>
      <c r="Q18" s="517">
        <v>0</v>
      </c>
      <c r="R18" s="422">
        <v>0</v>
      </c>
      <c r="S18" s="421">
        <v>0</v>
      </c>
      <c r="T18" s="422">
        <v>0</v>
      </c>
      <c r="U18" s="422">
        <v>0</v>
      </c>
      <c r="V18" s="423">
        <v>285457.82998149999</v>
      </c>
      <c r="AD18" s="517">
        <f t="shared" si="0"/>
        <v>0</v>
      </c>
      <c r="AE18" s="422">
        <f t="shared" si="0"/>
        <v>0</v>
      </c>
      <c r="AF18" s="421">
        <f t="shared" si="0"/>
        <v>0</v>
      </c>
      <c r="AG18" s="422">
        <f t="shared" si="0"/>
        <v>0</v>
      </c>
      <c r="AH18" s="422">
        <f t="shared" si="0"/>
        <v>0</v>
      </c>
      <c r="AI18" s="423">
        <f t="shared" si="0"/>
        <v>0</v>
      </c>
    </row>
    <row r="19" spans="2:35">
      <c r="B19" s="118" t="s">
        <v>53</v>
      </c>
      <c r="C19" s="119" t="s">
        <v>49</v>
      </c>
      <c r="D19" s="421">
        <f>+[27]ACTIVOS!C115</f>
        <v>8607.5463466670826</v>
      </c>
      <c r="E19" s="422">
        <f>+[27]ACTIVOS!D115</f>
        <v>7843.4760976887846</v>
      </c>
      <c r="F19" s="421">
        <f>+[27]ACTIVOS!E115</f>
        <v>7079.4058487104867</v>
      </c>
      <c r="G19" s="422">
        <f>+[27]ACTIVOS!F115</f>
        <v>22563.335599732189</v>
      </c>
      <c r="H19" s="422">
        <f>+[27]ACTIVOS!G115</f>
        <v>21311.82535075389</v>
      </c>
      <c r="I19" s="423">
        <f>+[27]ACTIVOS!H115</f>
        <v>20060.315101775595</v>
      </c>
      <c r="Q19" s="517">
        <v>8607.5463466670826</v>
      </c>
      <c r="R19" s="422">
        <v>16294.476097688785</v>
      </c>
      <c r="S19" s="421">
        <v>23073.875848710486</v>
      </c>
      <c r="T19" s="422">
        <v>21822.365599732191</v>
      </c>
      <c r="U19" s="422">
        <v>20570.855350753889</v>
      </c>
      <c r="V19" s="423">
        <v>19319.345101775594</v>
      </c>
      <c r="AD19" s="517">
        <f t="shared" si="0"/>
        <v>0</v>
      </c>
      <c r="AE19" s="422">
        <f t="shared" si="0"/>
        <v>-8451</v>
      </c>
      <c r="AF19" s="421">
        <f t="shared" si="0"/>
        <v>-15994.47</v>
      </c>
      <c r="AG19" s="422">
        <f t="shared" si="0"/>
        <v>740.96999999999753</v>
      </c>
      <c r="AH19" s="422">
        <f t="shared" si="0"/>
        <v>740.97000000000116</v>
      </c>
      <c r="AI19" s="423">
        <f t="shared" si="0"/>
        <v>740.97000000000116</v>
      </c>
    </row>
    <row r="20" spans="2:35">
      <c r="B20" s="122" t="s">
        <v>100</v>
      </c>
      <c r="C20" s="123" t="s">
        <v>49</v>
      </c>
      <c r="D20" s="424">
        <f>+[27]ACTIVOS!C144</f>
        <v>269.1894999999995</v>
      </c>
      <c r="E20" s="425">
        <f>+[27]ACTIVOS!D144</f>
        <v>199.15799999999945</v>
      </c>
      <c r="F20" s="424">
        <f>+[27]ACTIVOS!E144</f>
        <v>129.1264999999994</v>
      </c>
      <c r="G20" s="425">
        <f>+[27]ACTIVOS!F144</f>
        <v>59.094999999999345</v>
      </c>
      <c r="H20" s="425">
        <f>+[27]ACTIVOS!G144</f>
        <v>0</v>
      </c>
      <c r="I20" s="426">
        <f>+[27]ACTIVOS!H144</f>
        <v>0</v>
      </c>
      <c r="Q20" s="518">
        <v>269.1894999999995</v>
      </c>
      <c r="R20" s="425">
        <v>199.15799999999945</v>
      </c>
      <c r="S20" s="424">
        <v>129.1264999999994</v>
      </c>
      <c r="T20" s="425">
        <v>59.094999999999345</v>
      </c>
      <c r="U20" s="425">
        <v>0</v>
      </c>
      <c r="V20" s="426">
        <v>0</v>
      </c>
      <c r="AD20" s="518">
        <f t="shared" si="0"/>
        <v>0</v>
      </c>
      <c r="AE20" s="425">
        <f t="shared" si="0"/>
        <v>0</v>
      </c>
      <c r="AF20" s="424">
        <f t="shared" si="0"/>
        <v>0</v>
      </c>
      <c r="AG20" s="425">
        <f t="shared" si="0"/>
        <v>0</v>
      </c>
      <c r="AH20" s="425">
        <f t="shared" si="0"/>
        <v>0</v>
      </c>
      <c r="AI20" s="426">
        <f t="shared" si="0"/>
        <v>0</v>
      </c>
    </row>
    <row r="21" spans="2:35">
      <c r="B21" s="132" t="s">
        <v>101</v>
      </c>
      <c r="C21" s="119"/>
      <c r="D21" s="127"/>
      <c r="E21" s="133"/>
      <c r="F21" s="129"/>
      <c r="G21" s="133"/>
      <c r="H21" s="133"/>
      <c r="I21" s="134"/>
      <c r="J21" s="417"/>
      <c r="Q21" s="516"/>
      <c r="R21" s="133"/>
      <c r="S21" s="129"/>
      <c r="T21" s="133"/>
      <c r="U21" s="133"/>
      <c r="V21" s="134"/>
      <c r="AD21" s="516"/>
      <c r="AE21" s="133"/>
      <c r="AF21" s="129"/>
      <c r="AG21" s="133"/>
      <c r="AH21" s="133"/>
      <c r="AI21" s="134"/>
    </row>
    <row r="22" spans="2:35">
      <c r="B22" s="118" t="s">
        <v>56</v>
      </c>
      <c r="C22" s="119" t="s">
        <v>49</v>
      </c>
      <c r="D22" s="421"/>
      <c r="E22" s="422">
        <v>3693.8999999999996</v>
      </c>
      <c r="F22" s="421">
        <v>6416.9</v>
      </c>
      <c r="G22" s="422">
        <v>6661.9</v>
      </c>
      <c r="H22" s="422">
        <v>16764.3</v>
      </c>
      <c r="I22" s="423">
        <v>16764.3</v>
      </c>
      <c r="J22" s="16"/>
      <c r="Q22" s="517">
        <v>672845.40272774338</v>
      </c>
      <c r="R22" s="422">
        <v>679766.35099774343</v>
      </c>
      <c r="S22" s="421">
        <v>735624.52112293872</v>
      </c>
      <c r="T22" s="422">
        <v>834392.43199169892</v>
      </c>
      <c r="U22" s="422">
        <v>876842.58380800416</v>
      </c>
      <c r="V22" s="423">
        <v>1012021.4144057257</v>
      </c>
      <c r="AD22" s="517">
        <f t="shared" si="0"/>
        <v>-672845.40272774338</v>
      </c>
      <c r="AE22" s="422">
        <f t="shared" si="0"/>
        <v>-676072.45099774341</v>
      </c>
      <c r="AF22" s="421">
        <f t="shared" si="0"/>
        <v>-729207.6211229387</v>
      </c>
      <c r="AG22" s="422">
        <f t="shared" si="0"/>
        <v>-827730.5319916989</v>
      </c>
      <c r="AH22" s="422">
        <f t="shared" si="0"/>
        <v>-860078.28380800411</v>
      </c>
      <c r="AI22" s="423">
        <f t="shared" si="0"/>
        <v>-995257.11440572562</v>
      </c>
    </row>
    <row r="23" spans="2:35">
      <c r="B23" s="118" t="s">
        <v>247</v>
      </c>
      <c r="C23" s="119" t="s">
        <v>49</v>
      </c>
      <c r="D23" s="421"/>
      <c r="E23" s="422">
        <v>34765.1</v>
      </c>
      <c r="F23" s="421">
        <v>102035.1</v>
      </c>
      <c r="G23" s="422">
        <v>272363.09999999998</v>
      </c>
      <c r="H23" s="422">
        <v>377512.7</v>
      </c>
      <c r="I23" s="423">
        <v>487440.7</v>
      </c>
      <c r="J23" s="16"/>
      <c r="Q23" s="517">
        <v>0</v>
      </c>
      <c r="R23" s="422">
        <v>0</v>
      </c>
      <c r="S23" s="421">
        <v>0</v>
      </c>
      <c r="T23" s="422">
        <v>0</v>
      </c>
      <c r="U23" s="422">
        <v>0</v>
      </c>
      <c r="V23" s="423">
        <v>285457.82998149999</v>
      </c>
      <c r="AD23" s="517">
        <f t="shared" si="0"/>
        <v>0</v>
      </c>
      <c r="AE23" s="422">
        <f t="shared" si="0"/>
        <v>34765.1</v>
      </c>
      <c r="AF23" s="421">
        <f t="shared" si="0"/>
        <v>102035.1</v>
      </c>
      <c r="AG23" s="422">
        <f t="shared" si="0"/>
        <v>272363.09999999998</v>
      </c>
      <c r="AH23" s="422">
        <f t="shared" si="0"/>
        <v>377512.7</v>
      </c>
      <c r="AI23" s="423">
        <f t="shared" si="0"/>
        <v>201982.87001850002</v>
      </c>
    </row>
    <row r="24" spans="2:35">
      <c r="B24" s="118" t="s">
        <v>57</v>
      </c>
      <c r="C24" s="119" t="s">
        <v>49</v>
      </c>
      <c r="D24" s="421"/>
      <c r="E24" s="422"/>
      <c r="F24" s="421"/>
      <c r="G24" s="422"/>
      <c r="H24" s="422"/>
      <c r="I24" s="423"/>
      <c r="J24" s="16"/>
      <c r="Q24" s="517">
        <v>55584.10027607534</v>
      </c>
      <c r="R24" s="422">
        <v>64035.10027607534</v>
      </c>
      <c r="S24" s="421">
        <v>71832.100276075333</v>
      </c>
      <c r="T24" s="422">
        <v>71832.100276075333</v>
      </c>
      <c r="U24" s="422">
        <v>71832.100276075333</v>
      </c>
      <c r="V24" s="423">
        <v>71832.100276075333</v>
      </c>
      <c r="AD24" s="517">
        <f t="shared" si="0"/>
        <v>-55584.10027607534</v>
      </c>
      <c r="AE24" s="422">
        <f t="shared" si="0"/>
        <v>-64035.10027607534</v>
      </c>
      <c r="AF24" s="421">
        <f t="shared" si="0"/>
        <v>-71832.100276075333</v>
      </c>
      <c r="AG24" s="422">
        <f t="shared" si="0"/>
        <v>-71832.100276075333</v>
      </c>
      <c r="AH24" s="422">
        <f t="shared" si="0"/>
        <v>-71832.100276075333</v>
      </c>
      <c r="AI24" s="423">
        <f t="shared" si="0"/>
        <v>-71832.100276075333</v>
      </c>
    </row>
    <row r="25" spans="2:35">
      <c r="B25" s="132" t="s">
        <v>58</v>
      </c>
      <c r="C25" s="119"/>
      <c r="D25" s="421"/>
      <c r="E25" s="422"/>
      <c r="F25" s="421"/>
      <c r="G25" s="422"/>
      <c r="H25" s="422"/>
      <c r="I25" s="423"/>
      <c r="J25" s="16"/>
      <c r="Q25" s="517"/>
      <c r="R25" s="422"/>
      <c r="S25" s="421"/>
      <c r="T25" s="422"/>
      <c r="U25" s="422"/>
      <c r="V25" s="423"/>
      <c r="AD25" s="517">
        <f t="shared" si="0"/>
        <v>0</v>
      </c>
      <c r="AE25" s="422">
        <f t="shared" si="0"/>
        <v>0</v>
      </c>
      <c r="AF25" s="421">
        <f t="shared" si="0"/>
        <v>0</v>
      </c>
      <c r="AG25" s="422">
        <f t="shared" si="0"/>
        <v>0</v>
      </c>
      <c r="AH25" s="422">
        <f t="shared" si="0"/>
        <v>0</v>
      </c>
      <c r="AI25" s="423">
        <f t="shared" si="0"/>
        <v>0</v>
      </c>
    </row>
    <row r="26" spans="2:35">
      <c r="B26" s="118" t="s">
        <v>248</v>
      </c>
      <c r="C26" s="119" t="s">
        <v>49</v>
      </c>
      <c r="D26" s="421"/>
      <c r="E26" s="422">
        <f>+[27]ACTIVOS!D160</f>
        <v>552.98275666666655</v>
      </c>
      <c r="F26" s="422">
        <f>+[27]ACTIVOS!E160</f>
        <v>3708.333333333333</v>
      </c>
      <c r="G26" s="422">
        <f>+[27]ACTIVOS!F160</f>
        <v>14627.666002949512</v>
      </c>
      <c r="H26" s="422">
        <f>+[27]ACTIVOS!G160</f>
        <v>52.364652898412075</v>
      </c>
      <c r="I26" s="423">
        <f>+[27]ACTIVOS!H160</f>
        <v>47677.735883143461</v>
      </c>
      <c r="J26" s="16"/>
      <c r="K26" s="16"/>
      <c r="Q26" s="517">
        <v>0</v>
      </c>
      <c r="R26" s="422">
        <v>552.98275666666655</v>
      </c>
      <c r="S26" s="422">
        <v>6580.4562743352672</v>
      </c>
      <c r="T26" s="422">
        <v>12132.045890916219</v>
      </c>
      <c r="U26" s="422">
        <v>52.364652898412075</v>
      </c>
      <c r="V26" s="423">
        <v>47677.735883143461</v>
      </c>
      <c r="AD26" s="517">
        <f t="shared" si="0"/>
        <v>0</v>
      </c>
      <c r="AE26" s="422">
        <f t="shared" si="0"/>
        <v>0</v>
      </c>
      <c r="AF26" s="422">
        <f t="shared" si="0"/>
        <v>-2872.1229410019341</v>
      </c>
      <c r="AG26" s="422">
        <f t="shared" si="0"/>
        <v>2495.6201120332935</v>
      </c>
      <c r="AH26" s="422">
        <f t="shared" si="0"/>
        <v>0</v>
      </c>
      <c r="AI26" s="423">
        <f t="shared" si="0"/>
        <v>0</v>
      </c>
    </row>
    <row r="27" spans="2:35">
      <c r="B27" s="118" t="s">
        <v>249</v>
      </c>
      <c r="C27" s="119" t="s">
        <v>49</v>
      </c>
      <c r="D27" s="421"/>
      <c r="E27" s="422">
        <f>+[27]ACTIVOS!D165</f>
        <v>1014.4604091666668</v>
      </c>
      <c r="F27" s="422">
        <f>+[27]ACTIVOS!E165</f>
        <v>13022.718169173173</v>
      </c>
      <c r="G27" s="422">
        <f>+[27]ACTIVOS!F165</f>
        <v>29436.330429536429</v>
      </c>
      <c r="H27" s="422">
        <f>+[27]ACTIVOS!G165</f>
        <v>17387.492574819265</v>
      </c>
      <c r="I27" s="423">
        <f>+[27]ACTIVOS!H165</f>
        <v>63438.998632194074</v>
      </c>
      <c r="J27" s="16"/>
      <c r="K27" s="16"/>
      <c r="Q27" s="517">
        <v>0</v>
      </c>
      <c r="R27" s="422">
        <v>1267.9741350000002</v>
      </c>
      <c r="S27" s="422">
        <v>23805.79554877595</v>
      </c>
      <c r="T27" s="422">
        <v>25026.555360311118</v>
      </c>
      <c r="U27" s="422">
        <v>17387.492574819265</v>
      </c>
      <c r="V27" s="423">
        <v>63438.998632194074</v>
      </c>
      <c r="AD27" s="517">
        <f t="shared" si="0"/>
        <v>0</v>
      </c>
      <c r="AE27" s="422">
        <f t="shared" si="0"/>
        <v>-253.51372583333341</v>
      </c>
      <c r="AF27" s="422">
        <f t="shared" si="0"/>
        <v>-10783.077379602777</v>
      </c>
      <c r="AG27" s="422">
        <f t="shared" si="0"/>
        <v>4409.7750692253103</v>
      </c>
      <c r="AH27" s="422">
        <f t="shared" si="0"/>
        <v>0</v>
      </c>
      <c r="AI27" s="423">
        <f t="shared" si="0"/>
        <v>0</v>
      </c>
    </row>
    <row r="28" spans="2:35">
      <c r="B28" s="118" t="s">
        <v>250</v>
      </c>
      <c r="C28" s="119" t="s">
        <v>49</v>
      </c>
      <c r="D28" s="421"/>
      <c r="E28" s="422">
        <f>+[27]ACTIVOS!D161</f>
        <v>0</v>
      </c>
      <c r="F28" s="422">
        <f>+[27]ACTIVOS!E161</f>
        <v>0</v>
      </c>
      <c r="G28" s="422">
        <f>+[27]ACTIVOS!F161</f>
        <v>0</v>
      </c>
      <c r="H28" s="422">
        <f>+[27]ACTIVOS!G161</f>
        <v>0</v>
      </c>
      <c r="I28" s="423">
        <f>+[27]ACTIVOS!H161</f>
        <v>142728.91499075</v>
      </c>
      <c r="J28" s="16"/>
      <c r="Q28" s="517">
        <v>0</v>
      </c>
      <c r="R28" s="422">
        <v>0</v>
      </c>
      <c r="S28" s="422">
        <v>0</v>
      </c>
      <c r="T28" s="422">
        <v>0</v>
      </c>
      <c r="U28" s="422">
        <v>0</v>
      </c>
      <c r="V28" s="423">
        <v>142728.91499075</v>
      </c>
      <c r="AD28" s="517">
        <f t="shared" si="0"/>
        <v>0</v>
      </c>
      <c r="AE28" s="422">
        <f t="shared" si="0"/>
        <v>0</v>
      </c>
      <c r="AF28" s="422">
        <f t="shared" si="0"/>
        <v>0</v>
      </c>
      <c r="AG28" s="422">
        <f t="shared" si="0"/>
        <v>0</v>
      </c>
      <c r="AH28" s="422">
        <f t="shared" si="0"/>
        <v>0</v>
      </c>
      <c r="AI28" s="423">
        <f t="shared" si="0"/>
        <v>0</v>
      </c>
    </row>
    <row r="29" spans="2:35">
      <c r="B29" s="118" t="s">
        <v>251</v>
      </c>
      <c r="C29" s="119" t="s">
        <v>49</v>
      </c>
      <c r="D29" s="421"/>
      <c r="E29" s="422">
        <f>+[27]ACTIVOS!D166</f>
        <v>0</v>
      </c>
      <c r="F29" s="422">
        <f>+[27]ACTIVOS!E166</f>
        <v>0</v>
      </c>
      <c r="G29" s="422">
        <f>+[27]ACTIVOS!F166</f>
        <v>0</v>
      </c>
      <c r="H29" s="422">
        <f>+[27]ACTIVOS!G166</f>
        <v>0</v>
      </c>
      <c r="I29" s="423">
        <f>+[27]ACTIVOS!H166</f>
        <v>142728.91499075</v>
      </c>
      <c r="J29" s="16"/>
      <c r="Q29" s="517">
        <v>0</v>
      </c>
      <c r="R29" s="422">
        <v>0</v>
      </c>
      <c r="S29" s="422">
        <v>0</v>
      </c>
      <c r="T29" s="422">
        <v>0</v>
      </c>
      <c r="U29" s="422">
        <v>0</v>
      </c>
      <c r="V29" s="423">
        <v>142728.91499075</v>
      </c>
      <c r="AD29" s="517">
        <f t="shared" ref="AD29:AI31" si="1">+D29-Q29</f>
        <v>0</v>
      </c>
      <c r="AE29" s="422">
        <f t="shared" si="1"/>
        <v>0</v>
      </c>
      <c r="AF29" s="422">
        <f t="shared" si="1"/>
        <v>0</v>
      </c>
      <c r="AG29" s="422">
        <f t="shared" si="1"/>
        <v>0</v>
      </c>
      <c r="AH29" s="422">
        <f t="shared" si="1"/>
        <v>0</v>
      </c>
      <c r="AI29" s="423">
        <f t="shared" si="1"/>
        <v>0</v>
      </c>
    </row>
    <row r="30" spans="2:35">
      <c r="B30" s="118" t="s">
        <v>57</v>
      </c>
      <c r="C30" s="119" t="s">
        <v>49</v>
      </c>
      <c r="D30" s="421"/>
      <c r="E30" s="422">
        <f>+[27]ACTIVOS!D162</f>
        <v>0</v>
      </c>
      <c r="F30" s="421">
        <f>+[27]ACTIVOS!E162</f>
        <v>0</v>
      </c>
      <c r="G30" s="422">
        <f>+[27]ACTIVOS!F162</f>
        <v>2598.9999999999995</v>
      </c>
      <c r="H30" s="422">
        <f>+[27]ACTIVOS!G162</f>
        <v>0</v>
      </c>
      <c r="I30" s="423">
        <f>+[27]ACTIVOS!H162</f>
        <v>0</v>
      </c>
      <c r="J30" s="16"/>
      <c r="Q30" s="517">
        <v>0</v>
      </c>
      <c r="R30" s="422">
        <v>0</v>
      </c>
      <c r="S30" s="421">
        <v>0</v>
      </c>
      <c r="T30" s="422">
        <v>0</v>
      </c>
      <c r="U30" s="422">
        <v>0</v>
      </c>
      <c r="V30" s="423">
        <v>0</v>
      </c>
      <c r="AD30" s="517">
        <f t="shared" si="1"/>
        <v>0</v>
      </c>
      <c r="AE30" s="422">
        <f t="shared" si="1"/>
        <v>0</v>
      </c>
      <c r="AF30" s="421">
        <f t="shared" si="1"/>
        <v>0</v>
      </c>
      <c r="AG30" s="422">
        <f t="shared" si="1"/>
        <v>2598.9999999999995</v>
      </c>
      <c r="AH30" s="422">
        <f t="shared" si="1"/>
        <v>0</v>
      </c>
      <c r="AI30" s="423">
        <f t="shared" si="1"/>
        <v>0</v>
      </c>
    </row>
    <row r="31" spans="2:35" ht="13.8" thickBot="1">
      <c r="B31" s="135" t="s">
        <v>57</v>
      </c>
      <c r="C31" s="136" t="s">
        <v>49</v>
      </c>
      <c r="D31" s="427"/>
      <c r="E31" s="428">
        <f>+[27]ACTIVOS!D167</f>
        <v>0</v>
      </c>
      <c r="F31" s="427">
        <f>+[27]ACTIVOS!E167</f>
        <v>0</v>
      </c>
      <c r="G31" s="428">
        <f>+[27]ACTIVOS!F167</f>
        <v>5300.25</v>
      </c>
      <c r="H31" s="428">
        <f>+[27]ACTIVOS!G167</f>
        <v>0</v>
      </c>
      <c r="I31" s="429">
        <f>+[27]ACTIVOS!H167</f>
        <v>0</v>
      </c>
      <c r="J31" s="16"/>
      <c r="Q31" s="519">
        <v>0</v>
      </c>
      <c r="R31" s="428">
        <v>1401.75</v>
      </c>
      <c r="S31" s="427">
        <v>3898.5</v>
      </c>
      <c r="T31" s="428">
        <v>0</v>
      </c>
      <c r="U31" s="428">
        <v>0</v>
      </c>
      <c r="V31" s="429">
        <v>0</v>
      </c>
      <c r="AD31" s="519">
        <f t="shared" si="1"/>
        <v>0</v>
      </c>
      <c r="AE31" s="428">
        <f t="shared" si="1"/>
        <v>-1401.75</v>
      </c>
      <c r="AF31" s="427">
        <f t="shared" si="1"/>
        <v>-3898.5</v>
      </c>
      <c r="AG31" s="428">
        <f t="shared" si="1"/>
        <v>5300.25</v>
      </c>
      <c r="AH31" s="428">
        <f t="shared" si="1"/>
        <v>0</v>
      </c>
      <c r="AI31" s="429">
        <f t="shared" si="1"/>
        <v>0</v>
      </c>
    </row>
    <row r="32" spans="2:35" ht="13.8" thickBot="1">
      <c r="B32" s="129"/>
      <c r="C32" s="129"/>
      <c r="D32" s="129"/>
      <c r="E32" s="129"/>
      <c r="F32" s="129"/>
      <c r="G32" s="129"/>
      <c r="H32" s="129"/>
      <c r="I32" s="129"/>
      <c r="Q32" s="129"/>
      <c r="R32" s="129"/>
      <c r="S32" s="129"/>
      <c r="T32" s="129"/>
      <c r="U32" s="129"/>
      <c r="V32" s="129"/>
      <c r="AD32" s="129"/>
      <c r="AE32" s="129"/>
      <c r="AF32" s="129"/>
      <c r="AG32" s="129"/>
      <c r="AH32" s="129"/>
      <c r="AI32" s="129"/>
    </row>
    <row r="33" spans="2:40">
      <c r="B33" s="1229" t="s">
        <v>60</v>
      </c>
      <c r="C33" s="1230"/>
      <c r="D33" s="17">
        <v>2012</v>
      </c>
      <c r="E33" s="17">
        <v>2013</v>
      </c>
      <c r="F33" s="17">
        <v>2013</v>
      </c>
      <c r="G33" s="17">
        <f>+F33+1</f>
        <v>2014</v>
      </c>
      <c r="H33" s="17">
        <v>2014</v>
      </c>
      <c r="I33" s="17">
        <f>+H33+1</f>
        <v>2015</v>
      </c>
      <c r="J33" s="17">
        <v>2015</v>
      </c>
      <c r="K33" s="17">
        <f>+J33+1</f>
        <v>2016</v>
      </c>
      <c r="L33" s="17">
        <v>2016</v>
      </c>
      <c r="M33" s="17">
        <f>+L33+1</f>
        <v>2017</v>
      </c>
      <c r="N33" s="18">
        <v>2017</v>
      </c>
      <c r="Q33" s="17">
        <v>2012</v>
      </c>
      <c r="R33" s="17">
        <v>2013</v>
      </c>
      <c r="S33" s="17">
        <v>2013</v>
      </c>
      <c r="T33" s="17">
        <v>2014</v>
      </c>
      <c r="U33" s="17">
        <v>2014</v>
      </c>
      <c r="V33" s="17">
        <v>2015</v>
      </c>
      <c r="W33" s="17">
        <v>2015</v>
      </c>
      <c r="X33" s="17">
        <v>2016</v>
      </c>
      <c r="Y33" s="17">
        <v>2016</v>
      </c>
      <c r="Z33" s="17">
        <v>2017</v>
      </c>
      <c r="AA33" s="18">
        <v>2017</v>
      </c>
      <c r="AD33" s="17">
        <v>2012</v>
      </c>
      <c r="AE33" s="17">
        <v>2013</v>
      </c>
      <c r="AF33" s="17">
        <v>2013</v>
      </c>
      <c r="AG33" s="17">
        <v>2014</v>
      </c>
      <c r="AH33" s="17">
        <v>2014</v>
      </c>
      <c r="AI33" s="17">
        <v>2015</v>
      </c>
      <c r="AJ33" s="17">
        <v>2015</v>
      </c>
      <c r="AK33" s="17">
        <v>2016</v>
      </c>
      <c r="AL33" s="17">
        <v>2016</v>
      </c>
      <c r="AM33" s="17">
        <v>2017</v>
      </c>
      <c r="AN33" s="18">
        <v>2017</v>
      </c>
    </row>
    <row r="34" spans="2:40" ht="12.75" customHeight="1">
      <c r="B34" s="1231"/>
      <c r="C34" s="1232"/>
      <c r="D34" s="137"/>
      <c r="E34" s="138" t="s">
        <v>252</v>
      </c>
      <c r="F34" s="139" t="s">
        <v>253</v>
      </c>
      <c r="G34" s="138" t="s">
        <v>252</v>
      </c>
      <c r="H34" s="139" t="s">
        <v>253</v>
      </c>
      <c r="I34" s="139" t="s">
        <v>252</v>
      </c>
      <c r="J34" s="139" t="s">
        <v>253</v>
      </c>
      <c r="K34" s="138" t="s">
        <v>252</v>
      </c>
      <c r="L34" s="139" t="s">
        <v>253</v>
      </c>
      <c r="M34" s="138" t="s">
        <v>252</v>
      </c>
      <c r="N34" s="140" t="s">
        <v>253</v>
      </c>
      <c r="Q34" s="520"/>
      <c r="R34" s="138" t="s">
        <v>252</v>
      </c>
      <c r="S34" s="139" t="s">
        <v>253</v>
      </c>
      <c r="T34" s="138" t="s">
        <v>252</v>
      </c>
      <c r="U34" s="139" t="s">
        <v>253</v>
      </c>
      <c r="V34" s="139" t="s">
        <v>252</v>
      </c>
      <c r="W34" s="139" t="s">
        <v>253</v>
      </c>
      <c r="X34" s="138" t="s">
        <v>252</v>
      </c>
      <c r="Y34" s="139" t="s">
        <v>253</v>
      </c>
      <c r="Z34" s="138" t="s">
        <v>252</v>
      </c>
      <c r="AA34" s="140" t="s">
        <v>253</v>
      </c>
      <c r="AD34" s="520"/>
      <c r="AE34" s="138" t="s">
        <v>252</v>
      </c>
      <c r="AF34" s="139" t="s">
        <v>253</v>
      </c>
      <c r="AG34" s="138" t="s">
        <v>252</v>
      </c>
      <c r="AH34" s="139" t="s">
        <v>253</v>
      </c>
      <c r="AI34" s="139" t="s">
        <v>252</v>
      </c>
      <c r="AJ34" s="139" t="s">
        <v>253</v>
      </c>
      <c r="AK34" s="138" t="s">
        <v>252</v>
      </c>
      <c r="AL34" s="139" t="s">
        <v>253</v>
      </c>
      <c r="AM34" s="138" t="s">
        <v>252</v>
      </c>
      <c r="AN34" s="140" t="s">
        <v>253</v>
      </c>
    </row>
    <row r="35" spans="2:40">
      <c r="B35" s="19" t="s">
        <v>102</v>
      </c>
      <c r="C35" s="141"/>
      <c r="D35" s="141"/>
      <c r="E35" s="430">
        <f>SUM(E36:E41)</f>
        <v>12846.955772400532</v>
      </c>
      <c r="F35" s="430">
        <f t="shared" ref="F35:N35" si="2">SUM(F36:F41)</f>
        <v>13426.420441893393</v>
      </c>
      <c r="G35" s="430">
        <f t="shared" si="2"/>
        <v>13334.873189056803</v>
      </c>
      <c r="H35" s="430">
        <f t="shared" si="2"/>
        <v>14579.14350789496</v>
      </c>
      <c r="I35" s="430">
        <f t="shared" si="2"/>
        <v>16822.782931259408</v>
      </c>
      <c r="J35" s="430">
        <f t="shared" si="2"/>
        <v>18801.011438281916</v>
      </c>
      <c r="K35" s="430">
        <f t="shared" si="2"/>
        <v>18694.546103614714</v>
      </c>
      <c r="L35" s="430">
        <f t="shared" si="2"/>
        <v>21010.274466427611</v>
      </c>
      <c r="M35" s="430">
        <f t="shared" si="2"/>
        <v>26533.049435243407</v>
      </c>
      <c r="N35" s="431">
        <f t="shared" si="2"/>
        <v>28638.531629901398</v>
      </c>
      <c r="Q35" s="521"/>
      <c r="R35" s="430">
        <v>23579.568569899988</v>
      </c>
      <c r="S35" s="430">
        <v>24178.99065786949</v>
      </c>
      <c r="T35" s="430">
        <v>24473.42871957878</v>
      </c>
      <c r="U35" s="430">
        <v>26835.022734104594</v>
      </c>
      <c r="V35" s="430">
        <v>28610.99042089214</v>
      </c>
      <c r="W35" s="430">
        <v>30378.827669146183</v>
      </c>
      <c r="X35" s="430">
        <v>31988.890684413029</v>
      </c>
      <c r="Y35" s="430">
        <v>34365.536722508383</v>
      </c>
      <c r="Z35" s="430">
        <v>40574.328333907491</v>
      </c>
      <c r="AA35" s="431">
        <v>42735.197456802322</v>
      </c>
      <c r="AD35" s="521"/>
      <c r="AE35" s="430">
        <f>+E35-R35</f>
        <v>-10732.612797499456</v>
      </c>
      <c r="AF35" s="430">
        <f t="shared" ref="AF35:AN50" si="3">+F35-S35</f>
        <v>-10752.570215976097</v>
      </c>
      <c r="AG35" s="430">
        <f t="shared" si="3"/>
        <v>-11138.555530521977</v>
      </c>
      <c r="AH35" s="430">
        <f t="shared" si="3"/>
        <v>-12255.879226209634</v>
      </c>
      <c r="AI35" s="430">
        <f t="shared" si="3"/>
        <v>-11788.207489632732</v>
      </c>
      <c r="AJ35" s="430">
        <f t="shared" si="3"/>
        <v>-11577.816230864268</v>
      </c>
      <c r="AK35" s="430">
        <f t="shared" si="3"/>
        <v>-13294.344580798315</v>
      </c>
      <c r="AL35" s="430">
        <f t="shared" si="3"/>
        <v>-13355.262256080772</v>
      </c>
      <c r="AM35" s="430">
        <f t="shared" si="3"/>
        <v>-14041.278898664084</v>
      </c>
      <c r="AN35" s="431">
        <f t="shared" si="3"/>
        <v>-14096.665826900924</v>
      </c>
    </row>
    <row r="36" spans="2:40">
      <c r="B36" s="113" t="s">
        <v>62</v>
      </c>
      <c r="C36" s="114" t="s">
        <v>49</v>
      </c>
      <c r="D36" s="142"/>
      <c r="E36" s="432">
        <f>E8*(D$22/2+E$26)</f>
        <v>10.340777549666665</v>
      </c>
      <c r="F36" s="432">
        <f>E8*(D$22/2+E$27)</f>
        <v>18.97040965141667</v>
      </c>
      <c r="G36" s="432">
        <f>F8*(E$22/2+F$26)</f>
        <v>103.88379833333333</v>
      </c>
      <c r="H36" s="432">
        <f>F8*(E$22/2+F$27)</f>
        <v>278.06279476353831</v>
      </c>
      <c r="I36" s="432">
        <f>G8*(F$22/2+G$26)</f>
        <v>333.5353692551559</v>
      </c>
      <c r="J36" s="432">
        <f>G8*(F$22/2+G$27)</f>
        <v>610.45739403233131</v>
      </c>
      <c r="K36" s="432">
        <f>H8*(G$22/2+H$26)</f>
        <v>63.267984009200312</v>
      </c>
      <c r="L36" s="432">
        <f>H8*(G$22/2+H$27)</f>
        <v>387.43487614912033</v>
      </c>
      <c r="M36" s="432">
        <f>I8*(H$22/2+I$26)</f>
        <v>1048.3198660147827</v>
      </c>
      <c r="N36" s="433">
        <f>I8*(H$22/2+I$27)</f>
        <v>1343.0554794220293</v>
      </c>
      <c r="Q36" s="114"/>
      <c r="R36" s="432">
        <v>6840.6063876469279</v>
      </c>
      <c r="S36" s="432">
        <v>6855.1207126270956</v>
      </c>
      <c r="T36" s="432">
        <v>7033.2117249961011</v>
      </c>
      <c r="U36" s="432">
        <v>7382.886112267247</v>
      </c>
      <c r="V36" s="432">
        <v>7712.8694209834266</v>
      </c>
      <c r="W36" s="432">
        <v>7974.6279632121432</v>
      </c>
      <c r="X36" s="432">
        <v>8470.146187169581</v>
      </c>
      <c r="Y36" s="432">
        <v>8822.0492839845738</v>
      </c>
      <c r="Z36" s="432">
        <v>9867.810264079053</v>
      </c>
      <c r="AA36" s="433">
        <v>10187.763897884781</v>
      </c>
      <c r="AD36" s="114"/>
      <c r="AE36" s="432">
        <f t="shared" ref="AE36:AN59" si="4">+E36-R36</f>
        <v>-6830.2656100972608</v>
      </c>
      <c r="AF36" s="432">
        <f t="shared" si="3"/>
        <v>-6836.1503029756786</v>
      </c>
      <c r="AG36" s="432">
        <f t="shared" si="3"/>
        <v>-6929.3279266627678</v>
      </c>
      <c r="AH36" s="432">
        <f t="shared" si="3"/>
        <v>-7104.8233175037085</v>
      </c>
      <c r="AI36" s="432">
        <f t="shared" si="3"/>
        <v>-7379.3340517282704</v>
      </c>
      <c r="AJ36" s="432">
        <f t="shared" si="3"/>
        <v>-7364.1705691798115</v>
      </c>
      <c r="AK36" s="432">
        <f t="shared" si="3"/>
        <v>-8406.8782031603805</v>
      </c>
      <c r="AL36" s="432">
        <f t="shared" si="3"/>
        <v>-8434.6144078354537</v>
      </c>
      <c r="AM36" s="432">
        <f t="shared" si="3"/>
        <v>-8819.4903980642703</v>
      </c>
      <c r="AN36" s="433">
        <f t="shared" si="3"/>
        <v>-8844.7084184627511</v>
      </c>
    </row>
    <row r="37" spans="2:40">
      <c r="B37" s="118" t="s">
        <v>63</v>
      </c>
      <c r="C37" s="119" t="s">
        <v>49</v>
      </c>
      <c r="D37" s="143"/>
      <c r="E37" s="434">
        <f>E9*(D$22/2+E$26)</f>
        <v>7.2993723879999983</v>
      </c>
      <c r="F37" s="434">
        <f>+E9*(D$22/2+E$27)</f>
        <v>13.390877401000001</v>
      </c>
      <c r="G37" s="434">
        <f>+F9*(E$22/2+F$26)</f>
        <v>73.329739999999987</v>
      </c>
      <c r="H37" s="434">
        <f>+F9*(E$22/2+F$27)</f>
        <v>196.27961983308586</v>
      </c>
      <c r="I37" s="434">
        <f>G9*(F$22/2+G$26)</f>
        <v>235.43673123893356</v>
      </c>
      <c r="J37" s="434">
        <f>G9*(F$22/2+G$27)</f>
        <v>430.91110166988085</v>
      </c>
      <c r="K37" s="434">
        <f>H9*(G$22/2+H$26)</f>
        <v>44.659753418259037</v>
      </c>
      <c r="L37" s="434">
        <f>H9*(G$22/2+H$27)</f>
        <v>273.4834419876143</v>
      </c>
      <c r="M37" s="434">
        <f>I9*(H$22/2+I$26)</f>
        <v>739.99049365749374</v>
      </c>
      <c r="N37" s="435">
        <f>I9*(H$22/2+I$27)</f>
        <v>948.03916194496185</v>
      </c>
      <c r="Q37" s="119"/>
      <c r="R37" s="434">
        <v>2628.410336140199</v>
      </c>
      <c r="S37" s="434">
        <v>2633.9872688911992</v>
      </c>
      <c r="T37" s="434">
        <v>2702.4163278310143</v>
      </c>
      <c r="U37" s="434">
        <v>2836.7739741716514</v>
      </c>
      <c r="V37" s="434">
        <v>2963.5655903286074</v>
      </c>
      <c r="W37" s="434">
        <v>3064.1427641898877</v>
      </c>
      <c r="X37" s="434">
        <v>3254.5389290602329</v>
      </c>
      <c r="Y37" s="434">
        <v>3389.7529268512158</v>
      </c>
      <c r="Z37" s="434">
        <v>3791.5724167397348</v>
      </c>
      <c r="AA37" s="435">
        <v>3914.5102661823298</v>
      </c>
      <c r="AD37" s="119"/>
      <c r="AE37" s="434">
        <f t="shared" si="4"/>
        <v>-2621.110963752199</v>
      </c>
      <c r="AF37" s="434">
        <f t="shared" si="3"/>
        <v>-2620.596391490199</v>
      </c>
      <c r="AG37" s="434">
        <f t="shared" si="3"/>
        <v>-2629.0865878310142</v>
      </c>
      <c r="AH37" s="434">
        <f t="shared" si="3"/>
        <v>-2640.4943543385657</v>
      </c>
      <c r="AI37" s="434">
        <f t="shared" si="3"/>
        <v>-2728.1288590896738</v>
      </c>
      <c r="AJ37" s="434">
        <f t="shared" si="3"/>
        <v>-2633.2316625200069</v>
      </c>
      <c r="AK37" s="434">
        <f t="shared" si="3"/>
        <v>-3209.8791756419737</v>
      </c>
      <c r="AL37" s="434">
        <f t="shared" si="3"/>
        <v>-3116.2694848636015</v>
      </c>
      <c r="AM37" s="434">
        <f t="shared" si="3"/>
        <v>-3051.5819230822408</v>
      </c>
      <c r="AN37" s="435">
        <f t="shared" si="3"/>
        <v>-2966.4711042373679</v>
      </c>
    </row>
    <row r="38" spans="2:40">
      <c r="B38" s="118" t="s">
        <v>64</v>
      </c>
      <c r="C38" s="119" t="s">
        <v>49</v>
      </c>
      <c r="D38" s="143"/>
      <c r="E38" s="434">
        <f>(-[27]ACTIVOS!D33-[27]ACTIVOS!D88)/2+D10*E26</f>
        <v>5644.2526211978529</v>
      </c>
      <c r="F38" s="434">
        <f>(-[27]ACTIVOS!D33-[27]ACTIVOS!D88)/2+D10*E27</f>
        <v>5659.6594599102145</v>
      </c>
      <c r="G38" s="434">
        <f>(-[27]ACTIVOS!E33-[27]ACTIVOS!E88)/2+D10*F26</f>
        <v>5807.7785383992896</v>
      </c>
      <c r="H38" s="434">
        <f>(-[27]ACTIVOS!E33-[27]ACTIVOS!E88)/2+D10*F27</f>
        <v>6118.7474966862928</v>
      </c>
      <c r="I38" s="434">
        <f>(-[27]ACTIVOS!F33-[27]ACTIVOS!F88)/2+D10*G26</f>
        <v>6896.8543670375693</v>
      </c>
      <c r="J38" s="434">
        <f>(-[27]ACTIVOS!F33-[27]ACTIVOS!F88)/2+D10*G27</f>
        <v>7391.2546985160707</v>
      </c>
      <c r="K38" s="434">
        <f>(-[27]ACTIVOS!G33-[27]ACTIVOS!G88)/2+D10*H26</f>
        <v>7631.7944829352737</v>
      </c>
      <c r="L38" s="434">
        <f>(-[27]ACTIVOS!G33-[27]ACTIVOS!G88)/2+D10*H27</f>
        <v>8210.543027971702</v>
      </c>
      <c r="M38" s="434">
        <f>(-[27]ACTIVOS!H33-[27]ACTIVOS!H88)/2+D10*I26</f>
        <v>9858.5618111486765</v>
      </c>
      <c r="N38" s="435">
        <f>(-[27]ACTIVOS!H33-[27]ACTIVOS!H88)/2+D10*I27</f>
        <v>10384.765478351794</v>
      </c>
      <c r="Q38" s="119"/>
      <c r="R38" s="434">
        <v>5642.3802865237585</v>
      </c>
      <c r="S38" s="434">
        <v>5663.8300278737579</v>
      </c>
      <c r="T38" s="434">
        <v>5927.0187161038166</v>
      </c>
      <c r="U38" s="434">
        <v>6443.7788943370369</v>
      </c>
      <c r="V38" s="434">
        <v>6931.4389564791763</v>
      </c>
      <c r="W38" s="434">
        <v>7318.2742405610234</v>
      </c>
      <c r="X38" s="434">
        <v>7646.6171823700452</v>
      </c>
      <c r="Y38" s="434">
        <v>8166.6710200276702</v>
      </c>
      <c r="Z38" s="434">
        <v>9712.1305965219744</v>
      </c>
      <c r="AA38" s="435">
        <v>10184.968478993493</v>
      </c>
      <c r="AD38" s="119"/>
      <c r="AE38" s="434">
        <f t="shared" si="4"/>
        <v>1.872334674094418</v>
      </c>
      <c r="AF38" s="434">
        <f t="shared" si="3"/>
        <v>-4.1705679635433626</v>
      </c>
      <c r="AG38" s="434">
        <f t="shared" si="3"/>
        <v>-119.24017770452701</v>
      </c>
      <c r="AH38" s="434">
        <f t="shared" si="3"/>
        <v>-325.03139765074411</v>
      </c>
      <c r="AI38" s="434">
        <f t="shared" si="3"/>
        <v>-34.584589441607022</v>
      </c>
      <c r="AJ38" s="434">
        <f t="shared" si="3"/>
        <v>72.980457955047314</v>
      </c>
      <c r="AK38" s="434">
        <f t="shared" si="3"/>
        <v>-14.822699434771494</v>
      </c>
      <c r="AL38" s="434">
        <f t="shared" si="3"/>
        <v>43.872007944031793</v>
      </c>
      <c r="AM38" s="434">
        <f t="shared" si="3"/>
        <v>146.43121462670206</v>
      </c>
      <c r="AN38" s="435">
        <f t="shared" si="3"/>
        <v>199.79699935830104</v>
      </c>
    </row>
    <row r="39" spans="2:40">
      <c r="B39" s="118" t="s">
        <v>65</v>
      </c>
      <c r="C39" s="119" t="s">
        <v>49</v>
      </c>
      <c r="D39" s="143"/>
      <c r="E39" s="434">
        <f>$D$11*(D17/2+E26)</f>
        <v>7146.093921265011</v>
      </c>
      <c r="F39" s="16">
        <f>$D$11*(D17/2+E27)</f>
        <v>7177.6128449307616</v>
      </c>
      <c r="G39" s="434">
        <f>$D$11*(E17/2+F26)</f>
        <v>7109.8233123241807</v>
      </c>
      <c r="H39" s="434">
        <f>$D$11*(E17/2+F27)</f>
        <v>7745.9957966120419</v>
      </c>
      <c r="I39" s="434">
        <f>$D$11*(F17/2+G26)</f>
        <v>9116.8986637277503</v>
      </c>
      <c r="J39" s="434">
        <f>$D$11*(F17/2+G27)</f>
        <v>10128.330444063635</v>
      </c>
      <c r="K39" s="434">
        <f>$D$11*(G17/2+H26)</f>
        <v>10464.76608325198</v>
      </c>
      <c r="L39" s="434">
        <f>$D$11*(G17/2+H27)</f>
        <v>11648.755320319175</v>
      </c>
      <c r="M39" s="434">
        <f>$D$11*(H17/2+I26)</f>
        <v>14646.119464422456</v>
      </c>
      <c r="N39" s="435">
        <f>$D$11*(H17/2+I27)</f>
        <v>15722.613710182612</v>
      </c>
      <c r="Q39" s="119"/>
      <c r="R39" s="434">
        <v>8265.613759589105</v>
      </c>
      <c r="S39" s="16">
        <v>8322.0980784774383</v>
      </c>
      <c r="T39" s="434">
        <v>8570.7241506478476</v>
      </c>
      <c r="U39" s="434">
        <v>9931.5259533286608</v>
      </c>
      <c r="V39" s="434">
        <v>10763.058653100932</v>
      </c>
      <c r="W39" s="434">
        <v>11781.724901183128</v>
      </c>
      <c r="X39" s="434">
        <v>12127.530585813174</v>
      </c>
      <c r="Y39" s="434">
        <v>13497.005691644921</v>
      </c>
      <c r="Z39" s="434">
        <v>16962.757256566725</v>
      </c>
      <c r="AA39" s="435">
        <v>18207.89701374172</v>
      </c>
      <c r="AD39" s="119"/>
      <c r="AE39" s="434">
        <f t="shared" si="4"/>
        <v>-1119.5198383240941</v>
      </c>
      <c r="AF39" s="16">
        <f t="shared" si="3"/>
        <v>-1144.4852335466767</v>
      </c>
      <c r="AG39" s="434">
        <f t="shared" si="3"/>
        <v>-1460.9008383236669</v>
      </c>
      <c r="AH39" s="434">
        <f t="shared" si="3"/>
        <v>-2185.5301567166189</v>
      </c>
      <c r="AI39" s="434">
        <f t="shared" si="3"/>
        <v>-1646.1599893731818</v>
      </c>
      <c r="AJ39" s="434">
        <f t="shared" si="3"/>
        <v>-1653.3944571194934</v>
      </c>
      <c r="AK39" s="434">
        <f t="shared" si="3"/>
        <v>-1662.7645025611946</v>
      </c>
      <c r="AL39" s="434">
        <f t="shared" si="3"/>
        <v>-1848.2503713257465</v>
      </c>
      <c r="AM39" s="434">
        <f t="shared" si="3"/>
        <v>-2316.637792144269</v>
      </c>
      <c r="AN39" s="435">
        <f t="shared" si="3"/>
        <v>-2485.2833035591084</v>
      </c>
    </row>
    <row r="40" spans="2:40" ht="22.8">
      <c r="B40" s="118" t="s">
        <v>103</v>
      </c>
      <c r="C40" s="119" t="s">
        <v>49</v>
      </c>
      <c r="D40" s="143"/>
      <c r="E40" s="522">
        <f>77.93816/2</f>
        <v>38.969079999999998</v>
      </c>
      <c r="F40" s="522">
        <f>77.93816/2</f>
        <v>38.969079999999998</v>
      </c>
      <c r="G40" s="434">
        <f t="shared" ref="G40:N40" si="5">405.1156/2</f>
        <v>202.55779999999999</v>
      </c>
      <c r="H40" s="434">
        <f t="shared" si="5"/>
        <v>202.55779999999999</v>
      </c>
      <c r="I40" s="434">
        <f t="shared" si="5"/>
        <v>202.55779999999999</v>
      </c>
      <c r="J40" s="434">
        <f t="shared" si="5"/>
        <v>202.55779999999999</v>
      </c>
      <c r="K40" s="434">
        <f t="shared" si="5"/>
        <v>202.55779999999999</v>
      </c>
      <c r="L40" s="434">
        <f t="shared" si="5"/>
        <v>202.55779999999999</v>
      </c>
      <c r="M40" s="434">
        <f t="shared" si="5"/>
        <v>202.55779999999999</v>
      </c>
      <c r="N40" s="435">
        <f t="shared" si="5"/>
        <v>202.55779999999999</v>
      </c>
      <c r="Q40" s="119"/>
      <c r="R40" s="434">
        <v>202.55779999999999</v>
      </c>
      <c r="S40" s="434">
        <v>202.55779999999999</v>
      </c>
      <c r="T40" s="434">
        <v>202.55779999999999</v>
      </c>
      <c r="U40" s="434">
        <v>202.55779999999999</v>
      </c>
      <c r="V40" s="434">
        <v>202.55779999999999</v>
      </c>
      <c r="W40" s="434">
        <v>202.55779999999999</v>
      </c>
      <c r="X40" s="434">
        <v>202.55779999999999</v>
      </c>
      <c r="Y40" s="434">
        <v>202.55779999999999</v>
      </c>
      <c r="Z40" s="434">
        <v>202.55779999999999</v>
      </c>
      <c r="AA40" s="435">
        <v>202.55779999999999</v>
      </c>
      <c r="AD40" s="119"/>
      <c r="AE40" s="434">
        <f t="shared" si="4"/>
        <v>-163.58872</v>
      </c>
      <c r="AF40" s="434">
        <f t="shared" si="3"/>
        <v>-163.58872</v>
      </c>
      <c r="AG40" s="434">
        <f t="shared" si="3"/>
        <v>0</v>
      </c>
      <c r="AH40" s="434">
        <f t="shared" si="3"/>
        <v>0</v>
      </c>
      <c r="AI40" s="434">
        <f t="shared" si="3"/>
        <v>0</v>
      </c>
      <c r="AJ40" s="434">
        <f t="shared" si="3"/>
        <v>0</v>
      </c>
      <c r="AK40" s="434">
        <f t="shared" si="3"/>
        <v>0</v>
      </c>
      <c r="AL40" s="434">
        <f t="shared" si="3"/>
        <v>0</v>
      </c>
      <c r="AM40" s="434">
        <f t="shared" si="3"/>
        <v>0</v>
      </c>
      <c r="AN40" s="435">
        <f t="shared" si="3"/>
        <v>0</v>
      </c>
    </row>
    <row r="41" spans="2:40" ht="22.8">
      <c r="B41" s="118" t="s">
        <v>254</v>
      </c>
      <c r="C41" s="119"/>
      <c r="D41" s="143"/>
      <c r="E41" s="522"/>
      <c r="F41" s="522">
        <f>456.39677+45+16.421</f>
        <v>517.81777</v>
      </c>
      <c r="G41" s="434">
        <v>37.5</v>
      </c>
      <c r="H41" s="434">
        <v>37.5</v>
      </c>
      <c r="I41" s="434">
        <v>37.5</v>
      </c>
      <c r="J41" s="434">
        <v>37.5</v>
      </c>
      <c r="K41" s="434">
        <f>37.5+250</f>
        <v>287.5</v>
      </c>
      <c r="L41" s="434">
        <f>37.5+250</f>
        <v>287.5</v>
      </c>
      <c r="M41" s="434">
        <v>37.5</v>
      </c>
      <c r="N41" s="435">
        <v>37.5</v>
      </c>
      <c r="Q41" s="119"/>
      <c r="R41" s="434">
        <v>0</v>
      </c>
      <c r="S41" s="434">
        <v>501.39677</v>
      </c>
      <c r="T41" s="434">
        <v>37.5</v>
      </c>
      <c r="U41" s="434">
        <v>37.5</v>
      </c>
      <c r="V41" s="434">
        <v>37.5</v>
      </c>
      <c r="W41" s="434">
        <v>37.5</v>
      </c>
      <c r="X41" s="434">
        <v>287.5</v>
      </c>
      <c r="Y41" s="434">
        <v>287.5</v>
      </c>
      <c r="Z41" s="434">
        <v>37.5</v>
      </c>
      <c r="AA41" s="435">
        <v>37.5</v>
      </c>
      <c r="AD41" s="119"/>
      <c r="AE41" s="434">
        <f t="shared" si="4"/>
        <v>0</v>
      </c>
      <c r="AF41" s="434">
        <f t="shared" si="3"/>
        <v>16.420999999999992</v>
      </c>
      <c r="AG41" s="434">
        <f t="shared" si="3"/>
        <v>0</v>
      </c>
      <c r="AH41" s="434">
        <f t="shared" si="3"/>
        <v>0</v>
      </c>
      <c r="AI41" s="434">
        <f t="shared" si="3"/>
        <v>0</v>
      </c>
      <c r="AJ41" s="434">
        <f t="shared" si="3"/>
        <v>0</v>
      </c>
      <c r="AK41" s="434">
        <f t="shared" si="3"/>
        <v>0</v>
      </c>
      <c r="AL41" s="434">
        <f t="shared" si="3"/>
        <v>0</v>
      </c>
      <c r="AM41" s="434">
        <f t="shared" si="3"/>
        <v>0</v>
      </c>
      <c r="AN41" s="435">
        <f t="shared" si="3"/>
        <v>0</v>
      </c>
    </row>
    <row r="42" spans="2:40">
      <c r="B42" s="122"/>
      <c r="C42" s="123"/>
      <c r="D42" s="144"/>
      <c r="E42" s="436"/>
      <c r="F42" s="436"/>
      <c r="G42" s="436"/>
      <c r="H42" s="436"/>
      <c r="I42" s="436"/>
      <c r="J42" s="436"/>
      <c r="K42" s="436"/>
      <c r="L42" s="436"/>
      <c r="M42" s="436"/>
      <c r="N42" s="437"/>
      <c r="Q42" s="123"/>
      <c r="R42" s="436"/>
      <c r="S42" s="436"/>
      <c r="T42" s="436"/>
      <c r="U42" s="436"/>
      <c r="V42" s="436"/>
      <c r="W42" s="436"/>
      <c r="X42" s="436"/>
      <c r="Y42" s="436"/>
      <c r="Z42" s="436"/>
      <c r="AA42" s="437"/>
      <c r="AD42" s="123"/>
      <c r="AE42" s="436"/>
      <c r="AF42" s="436"/>
      <c r="AG42" s="436"/>
      <c r="AH42" s="436"/>
      <c r="AI42" s="436"/>
      <c r="AJ42" s="436"/>
      <c r="AK42" s="436"/>
      <c r="AL42" s="436"/>
      <c r="AM42" s="436"/>
      <c r="AN42" s="437"/>
    </row>
    <row r="43" spans="2:40" ht="23.25" customHeight="1">
      <c r="B43" s="20" t="s">
        <v>104</v>
      </c>
      <c r="C43" s="144"/>
      <c r="D43" s="144"/>
      <c r="E43" s="438">
        <f t="shared" ref="E43:J43" si="6">SUM(E44:E47)</f>
        <v>0</v>
      </c>
      <c r="F43" s="438">
        <f t="shared" si="6"/>
        <v>0</v>
      </c>
      <c r="G43" s="438">
        <f t="shared" si="6"/>
        <v>0</v>
      </c>
      <c r="H43" s="438">
        <f t="shared" si="6"/>
        <v>0</v>
      </c>
      <c r="I43" s="438">
        <f t="shared" si="6"/>
        <v>0</v>
      </c>
      <c r="J43" s="438">
        <f t="shared" si="6"/>
        <v>0</v>
      </c>
      <c r="K43" s="438">
        <f>SUM(K44:K47)</f>
        <v>4344.1914450000004</v>
      </c>
      <c r="L43" s="438">
        <f>SUM(L44:L47)</f>
        <v>4344.1914450000004</v>
      </c>
      <c r="M43" s="438">
        <f>SUM(M44:M47)</f>
        <v>25087.895641468323</v>
      </c>
      <c r="N43" s="439">
        <f>SUM(N44:N47)</f>
        <v>25087.895641468323</v>
      </c>
      <c r="Q43" s="123"/>
      <c r="R43" s="438"/>
      <c r="S43" s="438"/>
      <c r="T43" s="438"/>
      <c r="U43" s="438"/>
      <c r="V43" s="438"/>
      <c r="W43" s="438"/>
      <c r="X43" s="438"/>
      <c r="Y43" s="438"/>
      <c r="Z43" s="438">
        <v>19568.134245231824</v>
      </c>
      <c r="AA43" s="439">
        <v>19568.134245231824</v>
      </c>
      <c r="AD43" s="123"/>
      <c r="AE43" s="438"/>
      <c r="AF43" s="438"/>
      <c r="AG43" s="438"/>
      <c r="AH43" s="438"/>
      <c r="AI43" s="438"/>
      <c r="AJ43" s="438"/>
      <c r="AK43" s="438"/>
      <c r="AL43" s="438"/>
      <c r="AM43" s="438">
        <f t="shared" si="3"/>
        <v>5519.7613962364994</v>
      </c>
      <c r="AN43" s="439">
        <f t="shared" si="3"/>
        <v>5519.7613962364994</v>
      </c>
    </row>
    <row r="44" spans="2:40">
      <c r="B44" s="118" t="s">
        <v>62</v>
      </c>
      <c r="C44" s="114" t="s">
        <v>49</v>
      </c>
      <c r="D44" s="143"/>
      <c r="E44" s="440"/>
      <c r="F44" s="440"/>
      <c r="G44" s="440"/>
      <c r="H44" s="432"/>
      <c r="I44" s="432"/>
      <c r="J44" s="432"/>
      <c r="K44" s="432">
        <f>H8*(G23/2+H28)</f>
        <v>2546.5949850000002</v>
      </c>
      <c r="L44" s="432">
        <f>H8*(G23/2+H29)</f>
        <v>2546.5949850000002</v>
      </c>
      <c r="M44" s="432">
        <f>I8*(H23/2+I28)</f>
        <v>6198.7744553270259</v>
      </c>
      <c r="N44" s="433">
        <f>I8*(H23/2+I29)</f>
        <v>6198.7744553270259</v>
      </c>
      <c r="Q44" s="119"/>
      <c r="R44" s="440"/>
      <c r="S44" s="440"/>
      <c r="T44" s="440"/>
      <c r="U44" s="432"/>
      <c r="V44" s="432"/>
      <c r="W44" s="432"/>
      <c r="X44" s="432"/>
      <c r="Y44" s="432"/>
      <c r="Z44" s="432">
        <v>2897.3969743122248</v>
      </c>
      <c r="AA44" s="433">
        <v>2897.3969743122248</v>
      </c>
      <c r="AD44" s="119"/>
      <c r="AE44" s="440"/>
      <c r="AF44" s="440"/>
      <c r="AG44" s="440"/>
      <c r="AH44" s="432"/>
      <c r="AI44" s="432"/>
      <c r="AJ44" s="432"/>
      <c r="AK44" s="432"/>
      <c r="AL44" s="432"/>
      <c r="AM44" s="432">
        <f t="shared" si="3"/>
        <v>3301.3774810148011</v>
      </c>
      <c r="AN44" s="433">
        <f t="shared" si="3"/>
        <v>3301.3774810148011</v>
      </c>
    </row>
    <row r="45" spans="2:40">
      <c r="B45" s="118" t="s">
        <v>63</v>
      </c>
      <c r="C45" s="119" t="s">
        <v>49</v>
      </c>
      <c r="D45" s="143"/>
      <c r="E45" s="440"/>
      <c r="F45" s="440"/>
      <c r="G45" s="440"/>
      <c r="H45" s="434"/>
      <c r="I45" s="434"/>
      <c r="J45" s="434"/>
      <c r="K45" s="434">
        <f>H9*(G$23/2+H$28)</f>
        <v>1797.5964599999998</v>
      </c>
      <c r="L45" s="434">
        <f>H9*(G$23/2+H$29)</f>
        <v>1797.5964599999998</v>
      </c>
      <c r="M45" s="434">
        <f>I9*(H$23/2+I$28)</f>
        <v>4375.6054978779002</v>
      </c>
      <c r="N45" s="435">
        <f>I9*(H$23/2+I$29)</f>
        <v>4375.6054978779002</v>
      </c>
      <c r="Q45" s="119"/>
      <c r="R45" s="440"/>
      <c r="S45" s="440"/>
      <c r="T45" s="440"/>
      <c r="U45" s="434"/>
      <c r="V45" s="434"/>
      <c r="W45" s="434"/>
      <c r="X45" s="434"/>
      <c r="Y45" s="434"/>
      <c r="Z45" s="434">
        <v>1113.28553692785</v>
      </c>
      <c r="AA45" s="435">
        <v>1113.28553692785</v>
      </c>
      <c r="AD45" s="119"/>
      <c r="AE45" s="440"/>
      <c r="AF45" s="440"/>
      <c r="AG45" s="440"/>
      <c r="AH45" s="434"/>
      <c r="AI45" s="434"/>
      <c r="AJ45" s="434"/>
      <c r="AK45" s="434"/>
      <c r="AL45" s="434"/>
      <c r="AM45" s="434">
        <f t="shared" si="3"/>
        <v>3262.3199609500502</v>
      </c>
      <c r="AN45" s="435">
        <f t="shared" si="3"/>
        <v>3262.3199609500502</v>
      </c>
    </row>
    <row r="46" spans="2:40">
      <c r="B46" s="118" t="s">
        <v>64</v>
      </c>
      <c r="C46" s="119" t="s">
        <v>49</v>
      </c>
      <c r="D46" s="143"/>
      <c r="E46" s="434"/>
      <c r="F46" s="434"/>
      <c r="G46" s="434"/>
      <c r="H46" s="434"/>
      <c r="I46" s="434"/>
      <c r="J46" s="434"/>
      <c r="K46" s="434"/>
      <c r="L46" s="434"/>
      <c r="M46" s="434">
        <f>-[27]ACTIVOS!H60/2+D10*I28</f>
        <v>4765.1307943951715</v>
      </c>
      <c r="N46" s="435">
        <f>-[27]ACTIVOS!H60/2+D10*I29</f>
        <v>4765.1307943951715</v>
      </c>
      <c r="Q46" s="119"/>
      <c r="R46" s="434"/>
      <c r="S46" s="434"/>
      <c r="T46" s="434"/>
      <c r="U46" s="434"/>
      <c r="V46" s="434"/>
      <c r="W46" s="434"/>
      <c r="X46" s="434"/>
      <c r="Y46" s="434"/>
      <c r="Z46" s="434">
        <v>4281.8674497225002</v>
      </c>
      <c r="AA46" s="435">
        <v>4281.8674497225002</v>
      </c>
      <c r="AD46" s="119"/>
      <c r="AE46" s="434"/>
      <c r="AF46" s="434"/>
      <c r="AG46" s="434"/>
      <c r="AH46" s="434"/>
      <c r="AI46" s="434"/>
      <c r="AJ46" s="434"/>
      <c r="AK46" s="434"/>
      <c r="AL46" s="434"/>
      <c r="AM46" s="434">
        <f t="shared" si="3"/>
        <v>483.26334467267134</v>
      </c>
      <c r="AN46" s="435">
        <f t="shared" si="3"/>
        <v>483.26334467267134</v>
      </c>
    </row>
    <row r="47" spans="2:40">
      <c r="B47" s="118" t="s">
        <v>65</v>
      </c>
      <c r="C47" s="119" t="s">
        <v>49</v>
      </c>
      <c r="D47" s="143"/>
      <c r="E47" s="434"/>
      <c r="F47" s="434"/>
      <c r="G47" s="434"/>
      <c r="H47" s="441"/>
      <c r="I47" s="441"/>
      <c r="J47" s="441"/>
      <c r="K47" s="441"/>
      <c r="L47" s="441"/>
      <c r="M47" s="441">
        <f>$D$11*(H18/2+I28)</f>
        <v>9748.384893868224</v>
      </c>
      <c r="N47" s="442">
        <f>$D$11*(H18/2+I29)</f>
        <v>9748.384893868224</v>
      </c>
      <c r="Q47" s="119"/>
      <c r="R47" s="434"/>
      <c r="S47" s="434"/>
      <c r="T47" s="434"/>
      <c r="U47" s="441"/>
      <c r="V47" s="441"/>
      <c r="W47" s="441"/>
      <c r="X47" s="441"/>
      <c r="Y47" s="441"/>
      <c r="Z47" s="441">
        <v>11275.584284269249</v>
      </c>
      <c r="AA47" s="442">
        <v>11275.584284269249</v>
      </c>
      <c r="AD47" s="119"/>
      <c r="AE47" s="434"/>
      <c r="AF47" s="434"/>
      <c r="AG47" s="434"/>
      <c r="AH47" s="441"/>
      <c r="AI47" s="441"/>
      <c r="AJ47" s="441"/>
      <c r="AK47" s="441"/>
      <c r="AL47" s="441"/>
      <c r="AM47" s="441">
        <f t="shared" si="3"/>
        <v>-1527.1993904010251</v>
      </c>
      <c r="AN47" s="442">
        <f t="shared" si="3"/>
        <v>-1527.1993904010251</v>
      </c>
    </row>
    <row r="48" spans="2:40" ht="13.8" thickBot="1">
      <c r="B48" s="135"/>
      <c r="C48" s="136"/>
      <c r="D48" s="145"/>
      <c r="E48" s="146"/>
      <c r="F48" s="146"/>
      <c r="G48" s="146"/>
      <c r="H48" s="146"/>
      <c r="I48" s="146"/>
      <c r="J48" s="146"/>
      <c r="K48" s="146"/>
      <c r="L48" s="146"/>
      <c r="M48" s="146"/>
      <c r="N48" s="147"/>
      <c r="Q48" s="136"/>
      <c r="R48" s="146"/>
      <c r="S48" s="146"/>
      <c r="T48" s="146"/>
      <c r="U48" s="146"/>
      <c r="V48" s="146"/>
      <c r="W48" s="146"/>
      <c r="X48" s="146"/>
      <c r="Y48" s="146"/>
      <c r="Z48" s="146">
        <v>0</v>
      </c>
      <c r="AA48" s="147">
        <v>0</v>
      </c>
      <c r="AD48" s="136"/>
      <c r="AE48" s="146"/>
      <c r="AF48" s="146"/>
      <c r="AG48" s="146"/>
      <c r="AH48" s="146"/>
      <c r="AI48" s="146"/>
      <c r="AJ48" s="146"/>
      <c r="AK48" s="146"/>
      <c r="AL48" s="146"/>
      <c r="AM48" s="146">
        <f t="shared" si="3"/>
        <v>0</v>
      </c>
      <c r="AN48" s="147">
        <f t="shared" si="3"/>
        <v>0</v>
      </c>
    </row>
    <row r="49" spans="2:40">
      <c r="B49" s="79" t="s">
        <v>66</v>
      </c>
      <c r="C49" s="144"/>
      <c r="D49" s="144"/>
      <c r="E49" s="438">
        <f>SUM(E50:E53)</f>
        <v>675.98283222782993</v>
      </c>
      <c r="F49" s="438">
        <f t="shared" ref="F49:N49" si="7">SUM(F50:F53)</f>
        <v>675.98283222782993</v>
      </c>
      <c r="G49" s="438">
        <f t="shared" si="7"/>
        <v>649.88983322522097</v>
      </c>
      <c r="H49" s="438">
        <f t="shared" si="7"/>
        <v>649.88983322522097</v>
      </c>
      <c r="I49" s="438">
        <f t="shared" si="7"/>
        <v>970.98654300693693</v>
      </c>
      <c r="J49" s="438">
        <f t="shared" si="7"/>
        <v>1331.8354082834503</v>
      </c>
      <c r="K49" s="438">
        <f t="shared" si="7"/>
        <v>1396.2930352200033</v>
      </c>
      <c r="L49" s="438">
        <f t="shared" si="7"/>
        <v>1396.2930352200033</v>
      </c>
      <c r="M49" s="438">
        <f t="shared" si="7"/>
        <v>1353.5539602173944</v>
      </c>
      <c r="N49" s="439">
        <f t="shared" si="7"/>
        <v>1353.5539602173944</v>
      </c>
      <c r="Q49" s="123"/>
      <c r="R49" s="438">
        <v>1502.9898140613573</v>
      </c>
      <c r="S49" s="438">
        <v>1695.1697390613572</v>
      </c>
      <c r="T49" s="438">
        <v>2052.1250892267144</v>
      </c>
      <c r="U49" s="438">
        <v>2586.6094392267141</v>
      </c>
      <c r="V49" s="438">
        <v>2546.4142293920713</v>
      </c>
      <c r="W49" s="438">
        <v>2546.4142293920713</v>
      </c>
      <c r="X49" s="438">
        <v>2496.9795745574288</v>
      </c>
      <c r="Y49" s="438">
        <v>2496.9795745574288</v>
      </c>
      <c r="Z49" s="438">
        <v>2447.5449197227858</v>
      </c>
      <c r="AA49" s="439">
        <v>2447.5449197227858</v>
      </c>
      <c r="AD49" s="123"/>
      <c r="AE49" s="438">
        <f t="shared" si="4"/>
        <v>-827.00698183352733</v>
      </c>
      <c r="AF49" s="438">
        <f t="shared" si="3"/>
        <v>-1019.1869068335272</v>
      </c>
      <c r="AG49" s="438">
        <f t="shared" si="3"/>
        <v>-1402.2352560014933</v>
      </c>
      <c r="AH49" s="438">
        <f t="shared" si="3"/>
        <v>-1936.719606001493</v>
      </c>
      <c r="AI49" s="438">
        <f t="shared" si="3"/>
        <v>-1575.4276863851344</v>
      </c>
      <c r="AJ49" s="438">
        <f t="shared" si="3"/>
        <v>-1214.578821108621</v>
      </c>
      <c r="AK49" s="438">
        <f t="shared" si="3"/>
        <v>-1100.6865393374255</v>
      </c>
      <c r="AL49" s="438">
        <f t="shared" si="3"/>
        <v>-1100.6865393374255</v>
      </c>
      <c r="AM49" s="438">
        <f t="shared" si="3"/>
        <v>-1093.9909595053914</v>
      </c>
      <c r="AN49" s="439">
        <f t="shared" si="3"/>
        <v>-1093.9909595053914</v>
      </c>
    </row>
    <row r="50" spans="2:40">
      <c r="B50" s="118" t="s">
        <v>62</v>
      </c>
      <c r="C50" s="114" t="s">
        <v>49</v>
      </c>
      <c r="D50" s="143"/>
      <c r="E50" s="434">
        <f>E8*(D$24/2+E$30)</f>
        <v>0</v>
      </c>
      <c r="F50" s="434">
        <f>E8*(D$24/2+E$31)</f>
        <v>0</v>
      </c>
      <c r="G50" s="434">
        <f>F8*(E$24/2+F$30)</f>
        <v>0</v>
      </c>
      <c r="H50" s="434">
        <f>F8*(E$24/2+F$31)</f>
        <v>0</v>
      </c>
      <c r="I50" s="434">
        <f>G8*(F$24/2+G$30)</f>
        <v>48.601299999999995</v>
      </c>
      <c r="J50" s="434">
        <f>G8*(F$24/2+G$31)</f>
        <v>99.114675000000005</v>
      </c>
      <c r="K50" s="434">
        <f>H8*(G$24/2+H$30)</f>
        <v>0</v>
      </c>
      <c r="L50" s="434">
        <f>H8*(G$24/2+H$31)</f>
        <v>0</v>
      </c>
      <c r="M50" s="434">
        <f>I8*(H$24/2+I$30)</f>
        <v>0</v>
      </c>
      <c r="N50" s="435">
        <f>I8*(H$24/2+I$31)</f>
        <v>0</v>
      </c>
      <c r="Q50" s="119"/>
      <c r="R50" s="434">
        <v>564.17861780216469</v>
      </c>
      <c r="S50" s="434">
        <v>592.63414280216466</v>
      </c>
      <c r="T50" s="434">
        <v>649.95626780216469</v>
      </c>
      <c r="U50" s="434">
        <v>729.09581780216456</v>
      </c>
      <c r="V50" s="434">
        <v>729.09581780216456</v>
      </c>
      <c r="W50" s="434">
        <v>729.09581780216456</v>
      </c>
      <c r="X50" s="434">
        <v>729.09581780216456</v>
      </c>
      <c r="Y50" s="434">
        <v>729.09581780216456</v>
      </c>
      <c r="Z50" s="434">
        <v>729.09581780216456</v>
      </c>
      <c r="AA50" s="435">
        <v>729.09581780216456</v>
      </c>
      <c r="AD50" s="119"/>
      <c r="AE50" s="434">
        <f t="shared" si="4"/>
        <v>-564.17861780216469</v>
      </c>
      <c r="AF50" s="434">
        <f t="shared" si="3"/>
        <v>-592.63414280216466</v>
      </c>
      <c r="AG50" s="434">
        <f t="shared" si="3"/>
        <v>-649.95626780216469</v>
      </c>
      <c r="AH50" s="434">
        <f t="shared" si="3"/>
        <v>-729.09581780216456</v>
      </c>
      <c r="AI50" s="434">
        <f t="shared" si="3"/>
        <v>-680.49451780216452</v>
      </c>
      <c r="AJ50" s="434">
        <f t="shared" si="3"/>
        <v>-629.98114280216453</v>
      </c>
      <c r="AK50" s="434">
        <f t="shared" si="3"/>
        <v>-729.09581780216456</v>
      </c>
      <c r="AL50" s="434">
        <f t="shared" si="3"/>
        <v>-729.09581780216456</v>
      </c>
      <c r="AM50" s="434">
        <f t="shared" si="3"/>
        <v>-729.09581780216456</v>
      </c>
      <c r="AN50" s="435">
        <f t="shared" si="3"/>
        <v>-729.09581780216456</v>
      </c>
    </row>
    <row r="51" spans="2:40">
      <c r="B51" s="118" t="s">
        <v>63</v>
      </c>
      <c r="C51" s="119" t="s">
        <v>49</v>
      </c>
      <c r="D51" s="143"/>
      <c r="E51" s="434">
        <f>E9*(D$24/2+E$30)</f>
        <v>0</v>
      </c>
      <c r="F51" s="434">
        <f>E9*(D$24/2+E$31)</f>
        <v>0</v>
      </c>
      <c r="G51" s="434">
        <f>F9*(E$24/2+F$30)</f>
        <v>0</v>
      </c>
      <c r="H51" s="434">
        <f>F9*(E$24/2+F$31)</f>
        <v>0</v>
      </c>
      <c r="I51" s="434">
        <f>G9*(F$24/2+G$30)</f>
        <v>34.306799999999996</v>
      </c>
      <c r="J51" s="434">
        <f>G9*(F$24/2+G$31)</f>
        <v>69.963300000000004</v>
      </c>
      <c r="K51" s="434">
        <f>H9*(G$24/2+H$30)</f>
        <v>0</v>
      </c>
      <c r="L51" s="434">
        <f>H9*(G$24/2+H$31)</f>
        <v>0</v>
      </c>
      <c r="M51" s="434">
        <f>I9*(H$24/2+I$30)</f>
        <v>0</v>
      </c>
      <c r="N51" s="435">
        <f>I9*(H$24/2+I$31)</f>
        <v>0</v>
      </c>
      <c r="Q51" s="119"/>
      <c r="R51" s="434">
        <v>216.77799107669381</v>
      </c>
      <c r="S51" s="434">
        <v>227.71164107669381</v>
      </c>
      <c r="T51" s="434">
        <v>249.73689107669381</v>
      </c>
      <c r="U51" s="434">
        <v>280.14519107669378</v>
      </c>
      <c r="V51" s="434">
        <v>280.14519107669378</v>
      </c>
      <c r="W51" s="434">
        <v>280.14519107669378</v>
      </c>
      <c r="X51" s="434">
        <v>280.14519107669378</v>
      </c>
      <c r="Y51" s="434">
        <v>280.14519107669378</v>
      </c>
      <c r="Z51" s="434">
        <v>280.14519107669378</v>
      </c>
      <c r="AA51" s="435">
        <v>280.14519107669378</v>
      </c>
      <c r="AD51" s="119"/>
      <c r="AE51" s="434">
        <f t="shared" si="4"/>
        <v>-216.77799107669381</v>
      </c>
      <c r="AF51" s="434">
        <f t="shared" si="4"/>
        <v>-227.71164107669381</v>
      </c>
      <c r="AG51" s="434">
        <f t="shared" si="4"/>
        <v>-249.73689107669381</v>
      </c>
      <c r="AH51" s="434">
        <f t="shared" si="4"/>
        <v>-280.14519107669378</v>
      </c>
      <c r="AI51" s="434">
        <f t="shared" si="4"/>
        <v>-245.83839107669377</v>
      </c>
      <c r="AJ51" s="434">
        <f t="shared" si="4"/>
        <v>-210.18189107669377</v>
      </c>
      <c r="AK51" s="434">
        <f t="shared" si="4"/>
        <v>-280.14519107669378</v>
      </c>
      <c r="AL51" s="434">
        <f t="shared" si="4"/>
        <v>-280.14519107669378</v>
      </c>
      <c r="AM51" s="434">
        <f t="shared" si="4"/>
        <v>-280.14519107669378</v>
      </c>
      <c r="AN51" s="435">
        <f t="shared" si="4"/>
        <v>-280.14519107669378</v>
      </c>
    </row>
    <row r="52" spans="2:40">
      <c r="B52" s="118" t="s">
        <v>64</v>
      </c>
      <c r="C52" s="119" t="s">
        <v>49</v>
      </c>
      <c r="D52" s="143"/>
      <c r="E52" s="434">
        <f>-[27]ACTIVOS!D116/2+D10*E30</f>
        <v>382.03512448914898</v>
      </c>
      <c r="F52" s="434">
        <f>-[27]ACTIVOS!D116/2+D10*E31</f>
        <v>382.03512448914898</v>
      </c>
      <c r="G52" s="434">
        <f>-[27]ACTIVOS!E116/2+D10*F30</f>
        <v>382.03512448914898</v>
      </c>
      <c r="H52" s="434">
        <f>-[27]ACTIVOS!E116/2+D10*F31</f>
        <v>382.03512448914898</v>
      </c>
      <c r="I52" s="434">
        <f>-[27]ACTIVOS!F116/2+D10*G30</f>
        <v>468.80503327347395</v>
      </c>
      <c r="J52" s="434">
        <f>-[27]ACTIVOS!F116/2+D10*G31</f>
        <v>558.98864854998715</v>
      </c>
      <c r="K52" s="434">
        <f>-[27]ACTIVOS!G116/2+D10*H30</f>
        <v>625.75512448914901</v>
      </c>
      <c r="L52" s="434">
        <f>-[27]ACTIVOS!G116/2+D10*H31</f>
        <v>625.75512448914901</v>
      </c>
      <c r="M52" s="434">
        <f>-[27]ACTIVOS!H116/2+D10*I30</f>
        <v>625.75512448914901</v>
      </c>
      <c r="N52" s="435">
        <f>-[27]ACTIVOS!H116/2+D10*I31</f>
        <v>625.75512448914901</v>
      </c>
      <c r="Q52" s="119"/>
      <c r="R52" s="434">
        <v>382.03512448914898</v>
      </c>
      <c r="S52" s="434">
        <v>424.08762448914899</v>
      </c>
      <c r="T52" s="434">
        <v>508.80012448914897</v>
      </c>
      <c r="U52" s="434">
        <v>625.75512448914901</v>
      </c>
      <c r="V52" s="434">
        <v>625.75512448914901</v>
      </c>
      <c r="W52" s="434">
        <v>625.75512448914901</v>
      </c>
      <c r="X52" s="434">
        <v>625.75512448914901</v>
      </c>
      <c r="Y52" s="434">
        <v>625.75512448914901</v>
      </c>
      <c r="Z52" s="434">
        <v>625.75512448914901</v>
      </c>
      <c r="AA52" s="435">
        <v>625.75512448914901</v>
      </c>
      <c r="AD52" s="119"/>
      <c r="AE52" s="434">
        <f t="shared" si="4"/>
        <v>0</v>
      </c>
      <c r="AF52" s="434">
        <f t="shared" si="4"/>
        <v>-42.052500000000009</v>
      </c>
      <c r="AG52" s="434">
        <f t="shared" si="4"/>
        <v>-126.76499999999999</v>
      </c>
      <c r="AH52" s="434">
        <f t="shared" si="4"/>
        <v>-243.72000000000003</v>
      </c>
      <c r="AI52" s="434">
        <f t="shared" si="4"/>
        <v>-156.95009121567506</v>
      </c>
      <c r="AJ52" s="434">
        <f t="shared" si="4"/>
        <v>-66.766475939161865</v>
      </c>
      <c r="AK52" s="434">
        <f t="shared" si="4"/>
        <v>0</v>
      </c>
      <c r="AL52" s="434">
        <f t="shared" si="4"/>
        <v>0</v>
      </c>
      <c r="AM52" s="434">
        <f t="shared" si="4"/>
        <v>0</v>
      </c>
      <c r="AN52" s="435">
        <f t="shared" si="4"/>
        <v>0</v>
      </c>
    </row>
    <row r="53" spans="2:40">
      <c r="B53" s="122" t="s">
        <v>65</v>
      </c>
      <c r="C53" s="123" t="s">
        <v>49</v>
      </c>
      <c r="D53" s="144"/>
      <c r="E53" s="436">
        <f>+$D$11*(D19/2+E30)</f>
        <v>293.94770773868089</v>
      </c>
      <c r="F53" s="436">
        <f>+$D$11*(D19/2+E31)</f>
        <v>293.94770773868089</v>
      </c>
      <c r="G53" s="436">
        <f>+$D$11*(E19/2+F30)</f>
        <v>267.85470873607198</v>
      </c>
      <c r="H53" s="436">
        <f>+$D$11*(E19/2+F31)</f>
        <v>267.85470873607198</v>
      </c>
      <c r="I53" s="436">
        <f>+$D$11*(F19/2+G30)</f>
        <v>419.27340973346304</v>
      </c>
      <c r="J53" s="436">
        <f>+$D$11*(F19/2+G31)</f>
        <v>603.76878473346301</v>
      </c>
      <c r="K53" s="436">
        <f>+$D$11*(G19/2+H30)</f>
        <v>770.53791073085426</v>
      </c>
      <c r="L53" s="436">
        <f>+$D$11*(G19/2+H31)</f>
        <v>770.53791073085426</v>
      </c>
      <c r="M53" s="436">
        <f>+$D$11*(H19/2+I30)</f>
        <v>727.79883572824531</v>
      </c>
      <c r="N53" s="437">
        <f>+$D$11*(H19/2+I31)</f>
        <v>727.79883572824531</v>
      </c>
      <c r="Q53" s="123"/>
      <c r="R53" s="436">
        <v>339.99808069334978</v>
      </c>
      <c r="S53" s="436">
        <v>450.73633069334977</v>
      </c>
      <c r="T53" s="436">
        <v>643.63180585870703</v>
      </c>
      <c r="U53" s="436">
        <v>951.61330585870701</v>
      </c>
      <c r="V53" s="436">
        <v>911.4180960240642</v>
      </c>
      <c r="W53" s="436">
        <v>911.4180960240642</v>
      </c>
      <c r="X53" s="436">
        <v>861.98344118942157</v>
      </c>
      <c r="Y53" s="436">
        <v>861.98344118942157</v>
      </c>
      <c r="Z53" s="436">
        <v>812.5487863547786</v>
      </c>
      <c r="AA53" s="437">
        <v>812.5487863547786</v>
      </c>
      <c r="AD53" s="123"/>
      <c r="AE53" s="436">
        <f t="shared" si="4"/>
        <v>-46.050372954668887</v>
      </c>
      <c r="AF53" s="436">
        <f t="shared" si="4"/>
        <v>-156.78862295466888</v>
      </c>
      <c r="AG53" s="436">
        <f t="shared" si="4"/>
        <v>-375.77709712263504</v>
      </c>
      <c r="AH53" s="436">
        <f t="shared" si="4"/>
        <v>-683.75859712263502</v>
      </c>
      <c r="AI53" s="436">
        <f t="shared" si="4"/>
        <v>-492.14468629060116</v>
      </c>
      <c r="AJ53" s="436">
        <f t="shared" si="4"/>
        <v>-307.64931129060119</v>
      </c>
      <c r="AK53" s="436">
        <f t="shared" si="4"/>
        <v>-91.445530458567305</v>
      </c>
      <c r="AL53" s="436">
        <f t="shared" si="4"/>
        <v>-91.445530458567305</v>
      </c>
      <c r="AM53" s="436">
        <f t="shared" si="4"/>
        <v>-84.749950626533291</v>
      </c>
      <c r="AN53" s="437">
        <f t="shared" si="4"/>
        <v>-84.749950626533291</v>
      </c>
    </row>
    <row r="54" spans="2:40">
      <c r="B54" s="118"/>
      <c r="C54" s="123"/>
      <c r="D54" s="143"/>
      <c r="E54" s="434"/>
      <c r="F54" s="434"/>
      <c r="G54" s="434"/>
      <c r="H54" s="434"/>
      <c r="J54" s="434"/>
      <c r="K54" s="434"/>
      <c r="L54" s="434"/>
      <c r="M54" s="434"/>
      <c r="N54" s="435"/>
      <c r="Q54" s="119"/>
      <c r="R54" s="434"/>
      <c r="S54" s="434"/>
      <c r="T54" s="434"/>
      <c r="U54" s="434"/>
      <c r="W54" s="434"/>
      <c r="X54" s="434"/>
      <c r="Y54" s="434"/>
      <c r="Z54" s="434"/>
      <c r="AA54" s="435"/>
      <c r="AD54" s="119"/>
      <c r="AE54" s="434">
        <f t="shared" si="4"/>
        <v>0</v>
      </c>
      <c r="AF54" s="434">
        <f t="shared" si="4"/>
        <v>0</v>
      </c>
      <c r="AG54" s="434">
        <f t="shared" si="4"/>
        <v>0</v>
      </c>
      <c r="AH54" s="434">
        <f t="shared" si="4"/>
        <v>0</v>
      </c>
      <c r="AI54">
        <f t="shared" si="4"/>
        <v>0</v>
      </c>
      <c r="AJ54" s="434">
        <f t="shared" si="4"/>
        <v>0</v>
      </c>
      <c r="AK54" s="434">
        <f t="shared" si="4"/>
        <v>0</v>
      </c>
      <c r="AL54" s="434">
        <f t="shared" si="4"/>
        <v>0</v>
      </c>
      <c r="AM54" s="434">
        <f t="shared" si="4"/>
        <v>0</v>
      </c>
      <c r="AN54" s="435">
        <f t="shared" si="4"/>
        <v>0</v>
      </c>
    </row>
    <row r="55" spans="2:40">
      <c r="B55" s="19" t="s">
        <v>67</v>
      </c>
      <c r="C55" s="141"/>
      <c r="D55" s="141"/>
      <c r="E55" s="443">
        <f>SUM(E56:E57)</f>
        <v>3853.1640211449994</v>
      </c>
      <c r="F55" s="443">
        <f t="shared" ref="F55:N55" si="8">SUM(F56:F57)</f>
        <v>4188.8260098570699</v>
      </c>
      <c r="G55" s="443">
        <f t="shared" si="8"/>
        <v>5353.8598303279296</v>
      </c>
      <c r="H55" s="443">
        <f t="shared" si="8"/>
        <v>5216.1435990399996</v>
      </c>
      <c r="I55" s="443">
        <f t="shared" si="8"/>
        <v>8140.9753925249997</v>
      </c>
      <c r="J55" s="443">
        <f t="shared" si="8"/>
        <v>5331.5353925250001</v>
      </c>
      <c r="K55" s="443">
        <f t="shared" si="8"/>
        <v>5481.7574360099998</v>
      </c>
      <c r="L55" s="443">
        <f t="shared" si="8"/>
        <v>5945.1574360099994</v>
      </c>
      <c r="M55" s="443">
        <f t="shared" si="8"/>
        <v>5875.024937369999</v>
      </c>
      <c r="N55" s="444">
        <f t="shared" si="8"/>
        <v>5133.2249373699997</v>
      </c>
      <c r="Q55" s="521"/>
      <c r="R55" s="443">
        <v>4019.8161957799994</v>
      </c>
      <c r="S55" s="443">
        <v>5447.685305779999</v>
      </c>
      <c r="T55" s="443">
        <v>4875.9830943399993</v>
      </c>
      <c r="U55" s="443">
        <v>5168.3430943399999</v>
      </c>
      <c r="V55" s="443">
        <v>8116.6662192999993</v>
      </c>
      <c r="W55" s="443">
        <v>5122.2262192999997</v>
      </c>
      <c r="X55" s="443">
        <v>5387.0735942599995</v>
      </c>
      <c r="Y55" s="443">
        <v>5770.4735942599991</v>
      </c>
      <c r="Z55" s="443">
        <v>5875.024937369999</v>
      </c>
      <c r="AA55" s="444">
        <v>5133.2249373699997</v>
      </c>
      <c r="AD55" s="521"/>
      <c r="AE55" s="443">
        <f t="shared" si="4"/>
        <v>-166.65217463499994</v>
      </c>
      <c r="AF55" s="443">
        <f t="shared" si="4"/>
        <v>-1258.859295922929</v>
      </c>
      <c r="AG55" s="443">
        <f t="shared" si="4"/>
        <v>477.87673598793026</v>
      </c>
      <c r="AH55" s="443">
        <f t="shared" si="4"/>
        <v>47.800504699999692</v>
      </c>
      <c r="AI55" s="443">
        <f t="shared" si="4"/>
        <v>24.30917322500045</v>
      </c>
      <c r="AJ55" s="443">
        <f t="shared" si="4"/>
        <v>209.30917322500045</v>
      </c>
      <c r="AK55" s="443">
        <f t="shared" si="4"/>
        <v>94.683841750000283</v>
      </c>
      <c r="AL55" s="443">
        <f t="shared" si="4"/>
        <v>174.68384175000028</v>
      </c>
      <c r="AM55" s="443">
        <f t="shared" si="4"/>
        <v>0</v>
      </c>
      <c r="AN55" s="444">
        <f t="shared" si="4"/>
        <v>0</v>
      </c>
    </row>
    <row r="56" spans="2:40">
      <c r="B56" s="118" t="s">
        <v>75</v>
      </c>
      <c r="C56" s="114" t="s">
        <v>49</v>
      </c>
      <c r="D56" s="445"/>
      <c r="E56" s="446">
        <f>[27]CND!B9</f>
        <v>2202.5441297199995</v>
      </c>
      <c r="F56" s="446">
        <f>[27]CND!C9</f>
        <v>2620.1873784320696</v>
      </c>
      <c r="G56" s="446">
        <f>[27]CND!D9</f>
        <v>3675.7503826279299</v>
      </c>
      <c r="H56" s="446">
        <f>[27]CND!E9</f>
        <v>3502.4341513399995</v>
      </c>
      <c r="I56" s="446">
        <f>[27]CND!F9</f>
        <v>3541.1801621499999</v>
      </c>
      <c r="J56" s="446">
        <f>[27]CND!G9</f>
        <v>3276.7801621499998</v>
      </c>
      <c r="K56" s="446">
        <f>[27]CND!H9</f>
        <v>3096.8921729599997</v>
      </c>
      <c r="L56" s="446">
        <f>[27]CND!I9</f>
        <v>3862.4921729599996</v>
      </c>
      <c r="M56" s="446">
        <f>[27]CND!J9</f>
        <v>3206.7041837699994</v>
      </c>
      <c r="N56" s="447">
        <f>[27]CND!K9</f>
        <v>3057.6041837699995</v>
      </c>
      <c r="Q56" s="486"/>
      <c r="R56" s="446">
        <v>2367.7561405299994</v>
      </c>
      <c r="S56" s="446">
        <v>3763.125250529999</v>
      </c>
      <c r="T56" s="446">
        <v>3086.7081513399999</v>
      </c>
      <c r="U56" s="446">
        <v>3453.5681513399995</v>
      </c>
      <c r="V56" s="446">
        <v>3516.1801621499999</v>
      </c>
      <c r="W56" s="446">
        <v>3066.7801621499998</v>
      </c>
      <c r="X56" s="446">
        <v>3001.8921729599997</v>
      </c>
      <c r="Y56" s="446">
        <v>3687.4921729599996</v>
      </c>
      <c r="Z56" s="446">
        <v>3206.7041837699994</v>
      </c>
      <c r="AA56" s="447">
        <v>3057.6041837699995</v>
      </c>
      <c r="AD56" s="486"/>
      <c r="AE56" s="446">
        <f t="shared" si="4"/>
        <v>-165.21201080999981</v>
      </c>
      <c r="AF56" s="446">
        <f t="shared" si="4"/>
        <v>-1142.9378720979294</v>
      </c>
      <c r="AG56" s="446">
        <f t="shared" si="4"/>
        <v>589.04223128793001</v>
      </c>
      <c r="AH56" s="446">
        <f t="shared" si="4"/>
        <v>48.865999999999985</v>
      </c>
      <c r="AI56" s="446">
        <f t="shared" si="4"/>
        <v>25</v>
      </c>
      <c r="AJ56" s="446">
        <f t="shared" si="4"/>
        <v>210</v>
      </c>
      <c r="AK56" s="446">
        <f t="shared" si="4"/>
        <v>95</v>
      </c>
      <c r="AL56" s="446">
        <f t="shared" si="4"/>
        <v>175</v>
      </c>
      <c r="AM56" s="446">
        <f t="shared" si="4"/>
        <v>0</v>
      </c>
      <c r="AN56" s="447">
        <f t="shared" si="4"/>
        <v>0</v>
      </c>
    </row>
    <row r="57" spans="2:40">
      <c r="B57" s="118" t="s">
        <v>68</v>
      </c>
      <c r="C57" s="119" t="s">
        <v>49</v>
      </c>
      <c r="D57" s="445"/>
      <c r="E57" s="448">
        <f>[27]HID!B8/1000+(-[27]ACTIVOS!D145+$D$11*D20)/2</f>
        <v>1650.6198914250001</v>
      </c>
      <c r="F57" s="448">
        <f>[27]HID!C8/1000+(-[27]ACTIVOS!D145+$D$11*D20)/2</f>
        <v>1568.6386314250001</v>
      </c>
      <c r="G57" s="448">
        <f>[27]HID!D8/1000+(-[27]ACTIVOS!E145+$D$11*E20)/2</f>
        <v>1678.1094476999999</v>
      </c>
      <c r="H57" s="448">
        <f>[27]HID!E8/1000+(-[27]ACTIVOS!E145+$D$11*E20)/2</f>
        <v>1713.7094476999998</v>
      </c>
      <c r="I57" s="448">
        <f>[27]HID!F8/1000+(-[27]ACTIVOS!F145+$D$11*F20)/2</f>
        <v>4599.7952303749998</v>
      </c>
      <c r="J57" s="448">
        <f>[27]HID!G8/1000+(-[27]ACTIVOS!F145+$D$11*F20)/2</f>
        <v>2054.7552303749999</v>
      </c>
      <c r="K57" s="448">
        <f>[27]HID!H8/1000+(-[27]ACTIVOS!G145+$D$11*G20)/2</f>
        <v>2384.8652630500001</v>
      </c>
      <c r="L57" s="448">
        <f>[27]HID!I8/1000+(-[27]ACTIVOS!G145+$D$11*G20)/2</f>
        <v>2082.6652630499998</v>
      </c>
      <c r="M57" s="448">
        <f>[27]HID!J8/1000+(-[27]ACTIVOS!H145+$D$11*H20)/2</f>
        <v>2668.3207535999995</v>
      </c>
      <c r="N57" s="449">
        <f>[27]HID!K8/1000+(-[27]ACTIVOS!H145+$D$11*H20)/2</f>
        <v>2075.6207535999997</v>
      </c>
      <c r="O57" s="148"/>
      <c r="Q57" s="486"/>
      <c r="R57" s="448">
        <v>1652.0600552500002</v>
      </c>
      <c r="S57" s="448">
        <v>1684.5600552500002</v>
      </c>
      <c r="T57" s="448">
        <v>1789.2749429999999</v>
      </c>
      <c r="U57" s="448">
        <v>1714.7749429999999</v>
      </c>
      <c r="V57" s="448">
        <v>4600.4860571499994</v>
      </c>
      <c r="W57" s="448">
        <v>2055.4460571499999</v>
      </c>
      <c r="X57" s="448">
        <v>2385.1814212999998</v>
      </c>
      <c r="Y57" s="448">
        <v>2082.9814212999995</v>
      </c>
      <c r="Z57" s="448">
        <v>2668.3207535999995</v>
      </c>
      <c r="AA57" s="449">
        <v>2075.6207535999997</v>
      </c>
      <c r="AD57" s="486"/>
      <c r="AE57" s="448">
        <f t="shared" si="4"/>
        <v>-1.440163825000127</v>
      </c>
      <c r="AF57" s="448">
        <f t="shared" si="4"/>
        <v>-115.92142382500015</v>
      </c>
      <c r="AG57" s="448">
        <f t="shared" si="4"/>
        <v>-111.16549529999998</v>
      </c>
      <c r="AH57" s="448">
        <f t="shared" si="4"/>
        <v>-1.065495300000066</v>
      </c>
      <c r="AI57" s="448">
        <f t="shared" si="4"/>
        <v>-0.69082677499955025</v>
      </c>
      <c r="AJ57" s="448">
        <f t="shared" si="4"/>
        <v>-0.690826775000005</v>
      </c>
      <c r="AK57" s="448">
        <f t="shared" si="4"/>
        <v>-0.31615824999971665</v>
      </c>
      <c r="AL57" s="448">
        <f t="shared" si="4"/>
        <v>-0.31615824999971665</v>
      </c>
      <c r="AM57" s="448">
        <f t="shared" si="4"/>
        <v>0</v>
      </c>
      <c r="AN57" s="449">
        <f t="shared" si="4"/>
        <v>0</v>
      </c>
    </row>
    <row r="58" spans="2:40">
      <c r="B58" s="118"/>
      <c r="C58" s="123"/>
      <c r="D58" s="143"/>
      <c r="E58" s="150"/>
      <c r="F58" s="150"/>
      <c r="G58" s="150"/>
      <c r="H58" s="150"/>
      <c r="I58" s="150"/>
      <c r="J58" s="151"/>
      <c r="K58" s="151"/>
      <c r="L58" s="151"/>
      <c r="M58" s="151"/>
      <c r="N58" s="152"/>
      <c r="Q58" s="119"/>
      <c r="R58" s="150"/>
      <c r="S58" s="150"/>
      <c r="T58" s="150"/>
      <c r="U58" s="150"/>
      <c r="V58" s="150"/>
      <c r="W58" s="151"/>
      <c r="X58" s="151"/>
      <c r="Y58" s="151"/>
      <c r="Z58" s="151"/>
      <c r="AA58" s="152"/>
      <c r="AD58" s="119"/>
      <c r="AE58" s="150">
        <f t="shared" si="4"/>
        <v>0</v>
      </c>
      <c r="AF58" s="150">
        <f t="shared" si="4"/>
        <v>0</v>
      </c>
      <c r="AG58" s="150">
        <f t="shared" si="4"/>
        <v>0</v>
      </c>
      <c r="AH58" s="150">
        <f t="shared" si="4"/>
        <v>0</v>
      </c>
      <c r="AI58" s="150">
        <f t="shared" si="4"/>
        <v>0</v>
      </c>
      <c r="AJ58" s="151">
        <f t="shared" si="4"/>
        <v>0</v>
      </c>
      <c r="AK58" s="151">
        <f t="shared" si="4"/>
        <v>0</v>
      </c>
      <c r="AL58" s="151">
        <f t="shared" si="4"/>
        <v>0</v>
      </c>
      <c r="AM58" s="151">
        <f t="shared" si="4"/>
        <v>0</v>
      </c>
      <c r="AN58" s="152">
        <f t="shared" si="4"/>
        <v>0</v>
      </c>
    </row>
    <row r="59" spans="2:40" ht="13.8" thickBot="1">
      <c r="B59" s="21" t="s">
        <v>2</v>
      </c>
      <c r="C59" s="136" t="s">
        <v>49</v>
      </c>
      <c r="D59" s="153"/>
      <c r="E59" s="450">
        <f t="shared" ref="E59:N59" si="9">E35+E49+E55</f>
        <v>17376.102625773361</v>
      </c>
      <c r="F59" s="450">
        <f t="shared" si="9"/>
        <v>18291.229283978293</v>
      </c>
      <c r="G59" s="450">
        <f t="shared" si="9"/>
        <v>19338.622852609955</v>
      </c>
      <c r="H59" s="450">
        <f t="shared" si="9"/>
        <v>20445.176940160181</v>
      </c>
      <c r="I59" s="450">
        <f t="shared" si="9"/>
        <v>25934.744866791345</v>
      </c>
      <c r="J59" s="450">
        <f t="shared" si="9"/>
        <v>25464.382239090366</v>
      </c>
      <c r="K59" s="450">
        <f t="shared" si="9"/>
        <v>25572.596574844716</v>
      </c>
      <c r="L59" s="450">
        <f t="shared" si="9"/>
        <v>28351.724937657611</v>
      </c>
      <c r="M59" s="450">
        <f t="shared" si="9"/>
        <v>33761.628332830805</v>
      </c>
      <c r="N59" s="451">
        <f t="shared" si="9"/>
        <v>35125.310527488793</v>
      </c>
      <c r="Q59" s="523"/>
      <c r="R59" s="450">
        <v>29102.374579741347</v>
      </c>
      <c r="S59" s="450">
        <v>31321.845702710849</v>
      </c>
      <c r="T59" s="450">
        <v>31401.536903145497</v>
      </c>
      <c r="U59" s="450">
        <v>34589.975267671311</v>
      </c>
      <c r="V59" s="450">
        <v>39274.070869584211</v>
      </c>
      <c r="W59" s="450">
        <v>38047.468117838253</v>
      </c>
      <c r="X59" s="450">
        <v>39872.943853230456</v>
      </c>
      <c r="Y59" s="450">
        <v>42632.989891325815</v>
      </c>
      <c r="Z59" s="450">
        <v>48896.898191000277</v>
      </c>
      <c r="AA59" s="451">
        <v>50315.967313895104</v>
      </c>
      <c r="AD59" s="523"/>
      <c r="AE59" s="450">
        <f t="shared" si="4"/>
        <v>-11726.271953967986</v>
      </c>
      <c r="AF59" s="450">
        <f t="shared" si="4"/>
        <v>-13030.616418732556</v>
      </c>
      <c r="AG59" s="450">
        <f t="shared" si="4"/>
        <v>-12062.914050535543</v>
      </c>
      <c r="AH59" s="450">
        <f t="shared" si="4"/>
        <v>-14144.798327511129</v>
      </c>
      <c r="AI59" s="450">
        <f t="shared" si="4"/>
        <v>-13339.326002792866</v>
      </c>
      <c r="AJ59" s="450">
        <f t="shared" si="4"/>
        <v>-12583.085878747886</v>
      </c>
      <c r="AK59" s="450">
        <f t="shared" si="4"/>
        <v>-14300.34727838574</v>
      </c>
      <c r="AL59" s="450">
        <f t="shared" si="4"/>
        <v>-14281.264953668204</v>
      </c>
      <c r="AM59" s="450">
        <f t="shared" si="4"/>
        <v>-15135.269858169471</v>
      </c>
      <c r="AN59" s="451">
        <f t="shared" si="4"/>
        <v>-15190.656786406311</v>
      </c>
    </row>
    <row r="60" spans="2:40">
      <c r="E60" s="452"/>
      <c r="F60" s="452"/>
      <c r="G60" s="452"/>
      <c r="H60" s="452"/>
      <c r="I60" s="452"/>
      <c r="J60" s="452"/>
      <c r="K60" s="452"/>
      <c r="L60" s="452"/>
      <c r="M60" s="452"/>
      <c r="N60" s="452"/>
      <c r="R60" s="452"/>
      <c r="S60" s="452"/>
      <c r="T60" s="452"/>
      <c r="U60" s="452"/>
      <c r="V60" s="452"/>
      <c r="W60" s="452"/>
      <c r="X60" s="452"/>
      <c r="Y60" s="452"/>
      <c r="Z60" s="452"/>
      <c r="AA60" s="452"/>
      <c r="AE60" s="452"/>
      <c r="AF60" s="452"/>
      <c r="AG60" s="452"/>
      <c r="AH60" s="452"/>
      <c r="AI60" s="452"/>
      <c r="AJ60" s="452"/>
      <c r="AK60" s="452"/>
      <c r="AL60" s="452"/>
      <c r="AM60" s="452"/>
      <c r="AN60" s="452"/>
    </row>
    <row r="61" spans="2:40">
      <c r="E61" s="452"/>
      <c r="F61" s="452"/>
      <c r="G61" s="452"/>
      <c r="H61" s="452"/>
      <c r="I61" s="452"/>
      <c r="J61" s="452"/>
      <c r="K61" s="452"/>
      <c r="L61" s="452"/>
      <c r="M61" s="452"/>
      <c r="N61" s="452"/>
      <c r="R61" s="452"/>
      <c r="S61" s="452"/>
      <c r="T61" s="452"/>
      <c r="U61" s="452"/>
      <c r="V61" s="452"/>
      <c r="W61" s="452"/>
      <c r="X61" s="452"/>
      <c r="Y61" s="452"/>
      <c r="Z61" s="452"/>
      <c r="AA61" s="452"/>
      <c r="AE61" s="452"/>
      <c r="AF61" s="452"/>
      <c r="AG61" s="452"/>
      <c r="AH61" s="452"/>
      <c r="AI61" s="452"/>
      <c r="AJ61" s="452"/>
      <c r="AK61" s="452"/>
      <c r="AL61" s="452"/>
      <c r="AM61" s="452"/>
      <c r="AN61" s="452"/>
    </row>
    <row r="62" spans="2:40">
      <c r="B62" s="1228" t="s">
        <v>39</v>
      </c>
      <c r="C62" s="1228"/>
      <c r="D62" s="1228"/>
      <c r="E62" s="1228"/>
      <c r="F62" s="1228"/>
      <c r="G62" s="1228"/>
      <c r="H62" s="1228"/>
      <c r="I62" s="1228"/>
      <c r="Q62" s="1228"/>
      <c r="R62" s="1228"/>
      <c r="S62" s="1228"/>
      <c r="T62" s="1228"/>
      <c r="U62" s="1228"/>
      <c r="V62" s="1228"/>
      <c r="AD62" s="1228"/>
      <c r="AE62" s="1228"/>
      <c r="AF62" s="1228"/>
      <c r="AG62" s="1228"/>
      <c r="AH62" s="1228"/>
      <c r="AI62" s="1228"/>
    </row>
    <row r="63" spans="2:40">
      <c r="B63" s="1228" t="s">
        <v>69</v>
      </c>
      <c r="C63" s="1228"/>
      <c r="D63" s="1228"/>
      <c r="E63" s="1228"/>
      <c r="F63" s="1228"/>
      <c r="G63" s="1228"/>
      <c r="H63" s="1228"/>
      <c r="I63" s="1228"/>
      <c r="Q63" s="1228"/>
      <c r="R63" s="1228"/>
      <c r="S63" s="1228"/>
      <c r="T63" s="1228"/>
      <c r="U63" s="1228"/>
      <c r="V63" s="1228"/>
      <c r="AD63" s="1228"/>
      <c r="AE63" s="1228"/>
      <c r="AF63" s="1228"/>
      <c r="AG63" s="1228"/>
      <c r="AH63" s="1228"/>
      <c r="AI63" s="1228"/>
    </row>
    <row r="64" spans="2:40">
      <c r="B64" s="1228" t="s">
        <v>105</v>
      </c>
      <c r="C64" s="1228"/>
      <c r="D64" s="1228"/>
      <c r="E64" s="1228"/>
      <c r="F64" s="1228"/>
      <c r="G64" s="1228"/>
      <c r="H64" s="1228"/>
      <c r="I64" s="1228"/>
      <c r="Q64" s="1228"/>
      <c r="R64" s="1228"/>
      <c r="S64" s="1228"/>
      <c r="T64" s="1228"/>
      <c r="U64" s="1228"/>
      <c r="V64" s="1228"/>
      <c r="AD64" s="1228"/>
      <c r="AE64" s="1228"/>
      <c r="AF64" s="1228"/>
      <c r="AG64" s="1228"/>
      <c r="AH64" s="1228"/>
      <c r="AI64" s="1228"/>
    </row>
    <row r="65" spans="2:36" ht="3" customHeight="1">
      <c r="B65" s="9"/>
      <c r="C65" s="10"/>
      <c r="D65" s="10"/>
      <c r="E65" s="10"/>
      <c r="F65" s="10"/>
      <c r="G65" s="10"/>
      <c r="H65" s="10"/>
      <c r="I65" s="10"/>
      <c r="Q65" s="10"/>
      <c r="R65" s="10"/>
      <c r="S65" s="10"/>
      <c r="T65" s="10"/>
      <c r="U65" s="10"/>
      <c r="V65" s="10"/>
      <c r="AD65" s="10"/>
      <c r="AE65" s="10"/>
      <c r="AF65" s="10"/>
      <c r="AG65" s="10"/>
      <c r="AH65" s="10"/>
      <c r="AI65" s="10"/>
    </row>
    <row r="66" spans="2:36" ht="3" customHeight="1" thickBot="1">
      <c r="B66" s="9"/>
      <c r="C66" s="10"/>
      <c r="D66" s="10"/>
      <c r="E66" s="10"/>
      <c r="F66" s="10"/>
      <c r="G66" s="10"/>
      <c r="H66" s="10"/>
      <c r="I66" s="10"/>
      <c r="Q66" s="10"/>
      <c r="R66" s="10"/>
      <c r="S66" s="10"/>
      <c r="T66" s="10"/>
      <c r="U66" s="10"/>
      <c r="V66" s="10"/>
      <c r="AD66" s="10"/>
      <c r="AE66" s="10"/>
      <c r="AF66" s="10"/>
      <c r="AG66" s="10"/>
      <c r="AH66" s="10"/>
      <c r="AI66" s="10"/>
    </row>
    <row r="67" spans="2:36" ht="13.8">
      <c r="B67" s="453" t="s">
        <v>70</v>
      </c>
      <c r="C67" s="454"/>
      <c r="D67" s="455"/>
      <c r="E67" s="456">
        <v>2013</v>
      </c>
      <c r="F67" s="457">
        <v>2014</v>
      </c>
      <c r="G67" s="456">
        <v>2015</v>
      </c>
      <c r="H67" s="457">
        <v>2016</v>
      </c>
      <c r="I67" s="458">
        <v>2017</v>
      </c>
      <c r="Q67" s="524"/>
      <c r="R67" s="456">
        <v>2013</v>
      </c>
      <c r="S67" s="457">
        <v>2014</v>
      </c>
      <c r="T67" s="456">
        <v>2015</v>
      </c>
      <c r="U67" s="457">
        <v>2016</v>
      </c>
      <c r="V67" s="458">
        <v>2017</v>
      </c>
      <c r="AD67" s="524"/>
      <c r="AE67" s="456">
        <v>2013</v>
      </c>
      <c r="AF67" s="457">
        <v>2014</v>
      </c>
      <c r="AG67" s="456">
        <v>2015</v>
      </c>
      <c r="AH67" s="457">
        <v>2016</v>
      </c>
      <c r="AI67" s="458">
        <v>2017</v>
      </c>
    </row>
    <row r="68" spans="2:36" ht="13.8">
      <c r="B68" s="22" t="s">
        <v>106</v>
      </c>
      <c r="C68" s="459"/>
      <c r="D68" s="23"/>
      <c r="E68" s="23"/>
      <c r="F68" s="460"/>
      <c r="G68" s="460"/>
      <c r="H68" s="460"/>
      <c r="I68" s="461"/>
      <c r="Q68" s="525"/>
      <c r="R68" s="23"/>
      <c r="S68" s="460"/>
      <c r="T68" s="460"/>
      <c r="U68" s="460"/>
      <c r="V68" s="461"/>
      <c r="AD68" s="525"/>
      <c r="AE68" s="23"/>
      <c r="AF68" s="460"/>
      <c r="AG68" s="460"/>
      <c r="AH68" s="460"/>
      <c r="AI68" s="461"/>
    </row>
    <row r="69" spans="2:36" ht="13.8">
      <c r="B69" s="154" t="s">
        <v>102</v>
      </c>
      <c r="C69" s="155"/>
      <c r="D69" s="24"/>
      <c r="E69" s="462">
        <f>+E35+F35</f>
        <v>26273.376214293923</v>
      </c>
      <c r="F69" s="463">
        <f>+G35+H35</f>
        <v>27914.016696951763</v>
      </c>
      <c r="G69" s="463">
        <f>+I35+J35</f>
        <v>35623.794369541327</v>
      </c>
      <c r="H69" s="463">
        <f>+K35+L35</f>
        <v>39704.820570042328</v>
      </c>
      <c r="I69" s="464">
        <f>+M35+N35</f>
        <v>55171.581065144805</v>
      </c>
      <c r="J69" s="465"/>
      <c r="Q69" s="25"/>
      <c r="R69" s="462">
        <v>47758.559227769481</v>
      </c>
      <c r="S69" s="463">
        <v>51308.451453683374</v>
      </c>
      <c r="T69" s="463">
        <v>58989.818090038323</v>
      </c>
      <c r="U69" s="463">
        <v>66354.427406921415</v>
      </c>
      <c r="V69" s="464">
        <v>83309.525790709813</v>
      </c>
      <c r="W69" s="465"/>
      <c r="AD69" s="25"/>
      <c r="AE69" s="462">
        <f>+R69-E69</f>
        <v>21485.183013475558</v>
      </c>
      <c r="AF69" s="463">
        <f>+S69-F69</f>
        <v>23394.434756731611</v>
      </c>
      <c r="AG69" s="463">
        <f>+T69-G69</f>
        <v>23366.023720496996</v>
      </c>
      <c r="AH69" s="463">
        <f>+U69-H69</f>
        <v>26649.606836879087</v>
      </c>
      <c r="AI69" s="464">
        <f>+V69-I69</f>
        <v>28137.944725565008</v>
      </c>
      <c r="AJ69" s="465"/>
    </row>
    <row r="70" spans="2:36" ht="13.8">
      <c r="B70" s="466" t="s">
        <v>104</v>
      </c>
      <c r="C70" s="155"/>
      <c r="D70" s="24"/>
      <c r="E70" s="462">
        <f>+E43+F43</f>
        <v>0</v>
      </c>
      <c r="F70" s="463">
        <f>+G43+H43</f>
        <v>0</v>
      </c>
      <c r="G70" s="463">
        <f>+I43+J43</f>
        <v>0</v>
      </c>
      <c r="H70" s="463">
        <f>+K43+L43</f>
        <v>8688.3828900000008</v>
      </c>
      <c r="I70" s="467">
        <f>+M43+N43</f>
        <v>50175.791282936647</v>
      </c>
      <c r="J70" s="468"/>
      <c r="Q70" s="25"/>
      <c r="R70" s="462">
        <v>0</v>
      </c>
      <c r="S70" s="463">
        <v>0</v>
      </c>
      <c r="T70" s="463">
        <v>0</v>
      </c>
      <c r="U70" s="463">
        <v>0</v>
      </c>
      <c r="V70" s="467">
        <v>39136.268490463648</v>
      </c>
      <c r="W70" s="468"/>
      <c r="AD70" s="25"/>
      <c r="AE70" s="462">
        <f t="shared" ref="AE70:AH96" si="10">+R70-E70</f>
        <v>0</v>
      </c>
      <c r="AF70" s="463">
        <f t="shared" si="10"/>
        <v>0</v>
      </c>
      <c r="AG70" s="463">
        <f t="shared" si="10"/>
        <v>0</v>
      </c>
      <c r="AH70" s="463">
        <f t="shared" si="10"/>
        <v>-8688.3828900000008</v>
      </c>
      <c r="AI70" s="467">
        <f>+V70-I70</f>
        <v>-11039.522792472999</v>
      </c>
      <c r="AJ70" s="468"/>
    </row>
    <row r="71" spans="2:36" ht="13.8">
      <c r="B71" s="154" t="s">
        <v>66</v>
      </c>
      <c r="C71" s="155"/>
      <c r="D71" s="24"/>
      <c r="E71" s="462">
        <f>+E49+F49</f>
        <v>1351.9656644556599</v>
      </c>
      <c r="F71" s="463">
        <f>+G49+H49</f>
        <v>1299.7796664504419</v>
      </c>
      <c r="G71" s="463">
        <f>+I49+J49</f>
        <v>2302.821951290387</v>
      </c>
      <c r="H71" s="463">
        <f>K49+L49</f>
        <v>2792.5860704400066</v>
      </c>
      <c r="I71" s="464">
        <f>+M49+N49</f>
        <v>2707.1079204347889</v>
      </c>
      <c r="J71" s="465"/>
      <c r="Q71" s="25"/>
      <c r="R71" s="462">
        <v>3198.1595531227144</v>
      </c>
      <c r="S71" s="463">
        <v>4638.7345284534285</v>
      </c>
      <c r="T71" s="463">
        <v>5092.8284587841426</v>
      </c>
      <c r="U71" s="463">
        <v>4993.9591491148576</v>
      </c>
      <c r="V71" s="464">
        <v>4895.0898394455717</v>
      </c>
      <c r="W71" s="465"/>
      <c r="AD71" s="25"/>
      <c r="AE71" s="462">
        <f t="shared" si="10"/>
        <v>1846.1938886670546</v>
      </c>
      <c r="AF71" s="463">
        <f t="shared" si="10"/>
        <v>3338.9548620029864</v>
      </c>
      <c r="AG71" s="463">
        <f t="shared" si="10"/>
        <v>2790.0065074937556</v>
      </c>
      <c r="AH71" s="463">
        <f t="shared" si="10"/>
        <v>2201.3730786748511</v>
      </c>
      <c r="AI71" s="464">
        <f>+V71-I71</f>
        <v>2187.9819190107828</v>
      </c>
      <c r="AJ71" s="465"/>
    </row>
    <row r="72" spans="2:36" ht="13.8">
      <c r="B72" s="154" t="s">
        <v>67</v>
      </c>
      <c r="C72" s="155"/>
      <c r="D72" s="24"/>
      <c r="E72" s="462">
        <f>+E55+F55</f>
        <v>8041.9900310020694</v>
      </c>
      <c r="F72" s="463">
        <f>+G55+H55</f>
        <v>10570.003429367929</v>
      </c>
      <c r="G72" s="463">
        <f>+I55+J55</f>
        <v>13472.510785049999</v>
      </c>
      <c r="H72" s="463">
        <f>+K55+L55</f>
        <v>11426.914872019999</v>
      </c>
      <c r="I72" s="464">
        <f>+M55+N55</f>
        <v>11008.249874739999</v>
      </c>
      <c r="J72" s="465"/>
      <c r="Q72" s="25"/>
      <c r="R72" s="462">
        <v>9467.5015015599984</v>
      </c>
      <c r="S72" s="463">
        <v>10044.326188679999</v>
      </c>
      <c r="T72" s="463">
        <v>13238.8924386</v>
      </c>
      <c r="U72" s="463">
        <v>11157.547188519999</v>
      </c>
      <c r="V72" s="464">
        <v>11008.249874739999</v>
      </c>
      <c r="W72" s="465"/>
      <c r="AD72" s="25"/>
      <c r="AE72" s="462">
        <f t="shared" si="10"/>
        <v>1425.511470557929</v>
      </c>
      <c r="AF72" s="463">
        <f t="shared" si="10"/>
        <v>-525.67724068792995</v>
      </c>
      <c r="AG72" s="463">
        <f t="shared" si="10"/>
        <v>-233.61834644999908</v>
      </c>
      <c r="AH72" s="463">
        <f t="shared" si="10"/>
        <v>-269.36768350000057</v>
      </c>
      <c r="AI72" s="464">
        <f>+V72-I72</f>
        <v>0</v>
      </c>
      <c r="AJ72" s="465"/>
    </row>
    <row r="73" spans="2:36" ht="13.8">
      <c r="B73" s="154" t="s">
        <v>107</v>
      </c>
      <c r="C73" s="155"/>
      <c r="D73" s="24"/>
      <c r="E73" s="462">
        <f>+E56+F56</f>
        <v>4822.7315081520692</v>
      </c>
      <c r="F73" s="463">
        <f>+G56+H56</f>
        <v>7178.1845339679294</v>
      </c>
      <c r="G73" s="463">
        <f>+I56+J56</f>
        <v>6817.9603243000001</v>
      </c>
      <c r="H73" s="463">
        <f>+K56+L56</f>
        <v>6959.3843459199998</v>
      </c>
      <c r="I73" s="464">
        <f>+M56+N56</f>
        <v>6264.3083675399994</v>
      </c>
      <c r="J73" s="465"/>
      <c r="Q73" s="25"/>
      <c r="R73" s="462">
        <v>6130.8813910599984</v>
      </c>
      <c r="S73" s="463">
        <v>6540.2763026799994</v>
      </c>
      <c r="T73" s="463">
        <v>6582.9603243000001</v>
      </c>
      <c r="U73" s="463">
        <v>6689.3843459199998</v>
      </c>
      <c r="V73" s="464">
        <v>6264.3083675399994</v>
      </c>
      <c r="W73" s="465"/>
      <c r="AD73" s="25"/>
      <c r="AE73" s="462">
        <f t="shared" si="10"/>
        <v>1308.1498829079292</v>
      </c>
      <c r="AF73" s="463">
        <f t="shared" si="10"/>
        <v>-637.90823128792999</v>
      </c>
      <c r="AG73" s="463">
        <f t="shared" si="10"/>
        <v>-235</v>
      </c>
      <c r="AH73" s="463">
        <f t="shared" si="10"/>
        <v>-270</v>
      </c>
      <c r="AI73" s="464">
        <f>+V73-I73</f>
        <v>0</v>
      </c>
      <c r="AJ73" s="465"/>
    </row>
    <row r="74" spans="2:36" ht="13.8">
      <c r="B74" s="154" t="s">
        <v>68</v>
      </c>
      <c r="C74" s="155"/>
      <c r="D74" s="24"/>
      <c r="E74" s="462">
        <f>+E57+F57</f>
        <v>3219.2585228500002</v>
      </c>
      <c r="F74" s="463">
        <f>+G57+H57</f>
        <v>3391.8188953999997</v>
      </c>
      <c r="G74" s="463">
        <f>+I57+J57</f>
        <v>6654.5504607499997</v>
      </c>
      <c r="H74" s="463">
        <f>+K57+L57</f>
        <v>4467.5305260999994</v>
      </c>
      <c r="I74" s="464">
        <f>+M57+N57</f>
        <v>4743.9415071999993</v>
      </c>
      <c r="J74" s="465"/>
      <c r="Q74" s="25"/>
      <c r="R74" s="462">
        <v>3336.6201105000005</v>
      </c>
      <c r="S74" s="463">
        <v>3504.0498859999998</v>
      </c>
      <c r="T74" s="463">
        <v>6655.9321142999997</v>
      </c>
      <c r="U74" s="463">
        <v>4468.1628425999988</v>
      </c>
      <c r="V74" s="464">
        <v>4743.9415071999993</v>
      </c>
      <c r="W74" s="465"/>
      <c r="AD74" s="25"/>
      <c r="AE74" s="462">
        <f t="shared" si="10"/>
        <v>117.36158765000027</v>
      </c>
      <c r="AF74" s="463">
        <f t="shared" si="10"/>
        <v>112.23099060000004</v>
      </c>
      <c r="AG74" s="463">
        <f t="shared" si="10"/>
        <v>1.38165355000001</v>
      </c>
      <c r="AH74" s="463">
        <f t="shared" si="10"/>
        <v>0.63231649999943329</v>
      </c>
      <c r="AI74" s="464">
        <f>+V74-I74</f>
        <v>0</v>
      </c>
      <c r="AJ74" s="465"/>
    </row>
    <row r="75" spans="2:36" ht="13.8">
      <c r="B75" s="154"/>
      <c r="C75" s="155"/>
      <c r="D75" s="24"/>
      <c r="E75" s="24"/>
      <c r="F75" s="25"/>
      <c r="G75" s="25"/>
      <c r="H75" s="25"/>
      <c r="I75" s="26"/>
      <c r="Q75" s="25"/>
      <c r="R75" s="24"/>
      <c r="S75" s="25"/>
      <c r="T75" s="25"/>
      <c r="U75" s="25"/>
      <c r="V75" s="26"/>
      <c r="AD75" s="25"/>
      <c r="AE75" s="24"/>
      <c r="AF75" s="25"/>
      <c r="AG75" s="25"/>
      <c r="AH75" s="25"/>
      <c r="AI75" s="26"/>
    </row>
    <row r="76" spans="2:36" ht="13.8">
      <c r="B76" s="22" t="s">
        <v>108</v>
      </c>
      <c r="C76" s="156"/>
      <c r="D76" s="23"/>
      <c r="E76" s="27" t="s">
        <v>72</v>
      </c>
      <c r="F76" s="27" t="s">
        <v>109</v>
      </c>
      <c r="G76" s="27" t="s">
        <v>110</v>
      </c>
      <c r="H76" s="27" t="s">
        <v>111</v>
      </c>
      <c r="I76" s="28" t="s">
        <v>112</v>
      </c>
      <c r="Q76" s="525"/>
      <c r="R76" s="27" t="s">
        <v>72</v>
      </c>
      <c r="S76" s="27" t="s">
        <v>109</v>
      </c>
      <c r="T76" s="27" t="s">
        <v>110</v>
      </c>
      <c r="U76" s="27" t="s">
        <v>111</v>
      </c>
      <c r="V76" s="28" t="s">
        <v>112</v>
      </c>
      <c r="AD76" s="525"/>
      <c r="AE76" s="27" t="s">
        <v>72</v>
      </c>
      <c r="AF76" s="27" t="s">
        <v>109</v>
      </c>
      <c r="AG76" s="27" t="s">
        <v>110</v>
      </c>
      <c r="AH76" s="27" t="s">
        <v>111</v>
      </c>
      <c r="AI76" s="28" t="s">
        <v>112</v>
      </c>
    </row>
    <row r="77" spans="2:36" ht="13.8">
      <c r="B77" s="29" t="s">
        <v>102</v>
      </c>
      <c r="C77" s="157"/>
      <c r="D77" s="24"/>
      <c r="E77" s="526">
        <f>+F35+G35</f>
        <v>26761.293630950197</v>
      </c>
      <c r="F77" s="526">
        <f>+H35+I35</f>
        <v>31401.926439154369</v>
      </c>
      <c r="G77" s="462">
        <f>+J35+K35</f>
        <v>37495.557541896633</v>
      </c>
      <c r="H77" s="462">
        <f>+L35+M35</f>
        <v>47543.323901671014</v>
      </c>
      <c r="I77" s="464"/>
      <c r="Q77" s="25"/>
      <c r="R77" s="462">
        <v>48652.41937744827</v>
      </c>
      <c r="S77" s="462">
        <v>55446.013154996734</v>
      </c>
      <c r="T77" s="462">
        <v>62367.718353559212</v>
      </c>
      <c r="U77" s="462">
        <v>74939.865056415874</v>
      </c>
      <c r="V77" s="464"/>
      <c r="AD77" s="25"/>
      <c r="AE77" s="462">
        <f t="shared" si="10"/>
        <v>21891.125746498074</v>
      </c>
      <c r="AF77" s="462">
        <f t="shared" si="10"/>
        <v>24044.086715842364</v>
      </c>
      <c r="AG77" s="462">
        <f t="shared" si="10"/>
        <v>24872.160811662579</v>
      </c>
      <c r="AH77" s="462">
        <f t="shared" si="10"/>
        <v>27396.54115474486</v>
      </c>
      <c r="AI77" s="464"/>
    </row>
    <row r="78" spans="2:36" ht="13.8">
      <c r="B78" s="30" t="s">
        <v>104</v>
      </c>
      <c r="C78" s="157"/>
      <c r="D78" s="24"/>
      <c r="E78" s="526">
        <f>+F43+G43</f>
        <v>0</v>
      </c>
      <c r="F78" s="526">
        <f>+H43+I43</f>
        <v>0</v>
      </c>
      <c r="G78" s="469">
        <f>+J43+K43</f>
        <v>4344.1914450000004</v>
      </c>
      <c r="H78" s="469">
        <f>+L43+M43</f>
        <v>29432.087086468324</v>
      </c>
      <c r="I78" s="464"/>
      <c r="J78" s="468"/>
      <c r="Q78" s="25"/>
      <c r="R78" s="462">
        <v>0</v>
      </c>
      <c r="S78" s="462">
        <v>0</v>
      </c>
      <c r="T78" s="469">
        <v>0</v>
      </c>
      <c r="U78" s="469">
        <v>19568.134245231824</v>
      </c>
      <c r="V78" s="464"/>
      <c r="W78" s="468"/>
      <c r="AD78" s="25"/>
      <c r="AE78" s="462">
        <f t="shared" si="10"/>
        <v>0</v>
      </c>
      <c r="AF78" s="462">
        <f t="shared" si="10"/>
        <v>0</v>
      </c>
      <c r="AG78" s="469">
        <f t="shared" si="10"/>
        <v>-4344.1914450000004</v>
      </c>
      <c r="AH78" s="469">
        <f t="shared" si="10"/>
        <v>-9863.9528412364998</v>
      </c>
      <c r="AI78" s="464"/>
      <c r="AJ78" s="468"/>
    </row>
    <row r="79" spans="2:36" ht="13.8">
      <c r="B79" s="29" t="s">
        <v>66</v>
      </c>
      <c r="C79" s="157"/>
      <c r="D79" s="24"/>
      <c r="E79" s="526">
        <f>+F49+G49</f>
        <v>1325.872665453051</v>
      </c>
      <c r="F79" s="526">
        <f>+H49+I49</f>
        <v>1620.8763762321578</v>
      </c>
      <c r="G79" s="462">
        <f>+J49+K49</f>
        <v>2728.1284435034536</v>
      </c>
      <c r="H79" s="462">
        <f>+L49+M49</f>
        <v>2749.8469954373977</v>
      </c>
      <c r="I79" s="464"/>
      <c r="Q79" s="25"/>
      <c r="R79" s="462">
        <v>3747.2948282880716</v>
      </c>
      <c r="S79" s="462">
        <v>5133.0236686187855</v>
      </c>
      <c r="T79" s="462">
        <v>5043.3938039495006</v>
      </c>
      <c r="U79" s="462">
        <v>4944.5244942802146</v>
      </c>
      <c r="V79" s="464"/>
      <c r="AD79" s="25"/>
      <c r="AE79" s="462">
        <f t="shared" si="10"/>
        <v>2421.4221628350206</v>
      </c>
      <c r="AF79" s="462">
        <f t="shared" si="10"/>
        <v>3512.1472923866277</v>
      </c>
      <c r="AG79" s="462">
        <f t="shared" si="10"/>
        <v>2315.265360446047</v>
      </c>
      <c r="AH79" s="462">
        <f t="shared" si="10"/>
        <v>2194.6774988428169</v>
      </c>
      <c r="AI79" s="464"/>
    </row>
    <row r="80" spans="2:36" ht="13.8">
      <c r="B80" s="29" t="s">
        <v>67</v>
      </c>
      <c r="C80" s="157"/>
      <c r="D80" s="24"/>
      <c r="E80" s="526">
        <f>+F55+G55</f>
        <v>9542.6858401850004</v>
      </c>
      <c r="F80" s="526">
        <f>+H55+I55</f>
        <v>13357.118991564999</v>
      </c>
      <c r="G80" s="462">
        <f>+J55+K55</f>
        <v>10813.292828534999</v>
      </c>
      <c r="H80" s="462">
        <f>+L55+M55</f>
        <v>11820.182373379997</v>
      </c>
      <c r="I80" s="464"/>
      <c r="Q80" s="25"/>
      <c r="R80" s="462">
        <v>10323.668400119997</v>
      </c>
      <c r="S80" s="462">
        <v>13285.009313639999</v>
      </c>
      <c r="T80" s="462">
        <v>10509.299813559999</v>
      </c>
      <c r="U80" s="462">
        <v>11645.498531629997</v>
      </c>
      <c r="V80" s="464"/>
      <c r="AD80" s="25"/>
      <c r="AE80" s="462">
        <f t="shared" si="10"/>
        <v>780.98255993499697</v>
      </c>
      <c r="AF80" s="462">
        <f t="shared" si="10"/>
        <v>-72.109677925000142</v>
      </c>
      <c r="AG80" s="462">
        <f t="shared" si="10"/>
        <v>-303.99301497499982</v>
      </c>
      <c r="AH80" s="462">
        <f t="shared" si="10"/>
        <v>-174.68384175000028</v>
      </c>
      <c r="AI80" s="464"/>
    </row>
    <row r="81" spans="2:40" ht="13.8">
      <c r="B81" s="154" t="s">
        <v>75</v>
      </c>
      <c r="C81" s="157"/>
      <c r="D81" s="24"/>
      <c r="E81" s="496">
        <f>+F56+G56</f>
        <v>6295.9377610599995</v>
      </c>
      <c r="F81" s="526">
        <f>+H56+I56</f>
        <v>7043.6143134899994</v>
      </c>
      <c r="G81" s="462">
        <f>+J56+K56</f>
        <v>6373.672335109999</v>
      </c>
      <c r="H81" s="462">
        <f>+L56+M56</f>
        <v>7069.196356729999</v>
      </c>
      <c r="I81" s="464"/>
      <c r="J81" s="31"/>
      <c r="Q81" s="25"/>
      <c r="R81" s="462">
        <v>6849.8334018699989</v>
      </c>
      <c r="S81" s="462">
        <v>6969.7483134899994</v>
      </c>
      <c r="T81" s="462">
        <v>6068.672335109999</v>
      </c>
      <c r="U81" s="462">
        <v>6894.196356729999</v>
      </c>
      <c r="V81" s="464"/>
      <c r="W81" s="31"/>
      <c r="AD81" s="25"/>
      <c r="AE81" s="462">
        <f t="shared" si="10"/>
        <v>553.89564080999935</v>
      </c>
      <c r="AF81" s="462">
        <f t="shared" si="10"/>
        <v>-73.865999999999985</v>
      </c>
      <c r="AG81" s="462">
        <f t="shared" si="10"/>
        <v>-305</v>
      </c>
      <c r="AH81" s="462">
        <f t="shared" si="10"/>
        <v>-175</v>
      </c>
      <c r="AI81" s="464"/>
      <c r="AJ81" s="31"/>
    </row>
    <row r="82" spans="2:40" ht="13.8">
      <c r="B82" s="470" t="s">
        <v>68</v>
      </c>
      <c r="C82" s="471"/>
      <c r="D82" s="472"/>
      <c r="E82" s="497">
        <f>+F57+G57</f>
        <v>3246.748079125</v>
      </c>
      <c r="F82" s="527">
        <f>+H57+I57</f>
        <v>6313.5046780749999</v>
      </c>
      <c r="G82" s="528">
        <f>+J57+K57</f>
        <v>4439.6204934249999</v>
      </c>
      <c r="H82" s="528">
        <f>+L57+M57</f>
        <v>4750.9860166499993</v>
      </c>
      <c r="I82" s="473"/>
      <c r="Q82" s="529"/>
      <c r="R82" s="528">
        <v>3473.8349982500004</v>
      </c>
      <c r="S82" s="528">
        <v>6315.2610001499997</v>
      </c>
      <c r="T82" s="528">
        <v>4440.6274784500001</v>
      </c>
      <c r="U82" s="528">
        <v>4751.302174899999</v>
      </c>
      <c r="V82" s="473"/>
      <c r="AD82" s="529"/>
      <c r="AE82" s="528">
        <f t="shared" si="10"/>
        <v>227.08691912500035</v>
      </c>
      <c r="AF82" s="528">
        <f t="shared" si="10"/>
        <v>1.7563220749998436</v>
      </c>
      <c r="AG82" s="528">
        <f t="shared" si="10"/>
        <v>1.0069850250001764</v>
      </c>
      <c r="AH82" s="528">
        <f t="shared" si="10"/>
        <v>0.31615824999971665</v>
      </c>
      <c r="AI82" s="473"/>
    </row>
    <row r="83" spans="2:40" ht="13.8">
      <c r="B83" s="154"/>
      <c r="C83" s="155"/>
      <c r="D83" s="24"/>
      <c r="E83" s="24"/>
      <c r="F83" s="25"/>
      <c r="G83" s="25"/>
      <c r="H83" s="25"/>
      <c r="I83" s="26"/>
      <c r="Q83" s="25"/>
      <c r="R83" s="24"/>
      <c r="S83" s="25"/>
      <c r="T83" s="25"/>
      <c r="U83" s="25"/>
      <c r="V83" s="26"/>
      <c r="AD83" s="25"/>
      <c r="AE83" s="24"/>
      <c r="AF83" s="25"/>
      <c r="AG83" s="25"/>
      <c r="AH83" s="25"/>
      <c r="AI83" s="26"/>
    </row>
    <row r="84" spans="2:40" ht="13.8">
      <c r="B84" s="29" t="s">
        <v>73</v>
      </c>
      <c r="C84" s="155"/>
      <c r="D84" s="24"/>
      <c r="E84" s="474">
        <f>1/(1+$D$11/2)</f>
        <v>0.96697771116375775</v>
      </c>
      <c r="F84" s="475">
        <f>E84/(1+$D$11)</f>
        <v>0.90515558472690982</v>
      </c>
      <c r="G84" s="475">
        <f>F84/(1+$D$11)</f>
        <v>0.84728595406431695</v>
      </c>
      <c r="H84" s="475">
        <f>G84/(1+$D$11)</f>
        <v>0.79311612287214917</v>
      </c>
      <c r="I84" s="476"/>
      <c r="M84" s="3"/>
      <c r="N84" s="3"/>
      <c r="O84" s="3"/>
      <c r="Q84" s="25"/>
      <c r="R84" s="474">
        <v>0.96200096200096197</v>
      </c>
      <c r="S84" s="475">
        <v>0.89156715662739761</v>
      </c>
      <c r="T84" s="475">
        <v>0.82629022857034073</v>
      </c>
      <c r="U84" s="475">
        <v>0.76579261220606187</v>
      </c>
      <c r="V84" s="476"/>
      <c r="Z84" s="3"/>
      <c r="AA84" s="3"/>
      <c r="AD84" s="25"/>
      <c r="AE84" s="474"/>
      <c r="AF84" s="475"/>
      <c r="AG84" s="475"/>
      <c r="AH84" s="475"/>
      <c r="AI84" s="476"/>
      <c r="AM84" s="3"/>
      <c r="AN84" s="3"/>
    </row>
    <row r="85" spans="2:40" ht="14.4" thickBot="1">
      <c r="B85" s="158"/>
      <c r="C85" s="159"/>
      <c r="D85" s="160"/>
      <c r="E85" s="160"/>
      <c r="F85" s="161"/>
      <c r="G85" s="161"/>
      <c r="H85" s="161"/>
      <c r="I85" s="162"/>
      <c r="K85" s="3"/>
      <c r="M85" s="3"/>
      <c r="N85" s="3"/>
      <c r="O85" s="3"/>
      <c r="Q85" s="161"/>
      <c r="R85" s="160"/>
      <c r="S85" s="161"/>
      <c r="T85" s="161"/>
      <c r="U85" s="161"/>
      <c r="V85" s="162"/>
      <c r="X85" s="3"/>
      <c r="Z85" s="3"/>
      <c r="AA85" s="3"/>
      <c r="AD85" s="161"/>
      <c r="AE85" s="160"/>
      <c r="AF85" s="161"/>
      <c r="AG85" s="161"/>
      <c r="AH85" s="161"/>
      <c r="AI85" s="162"/>
      <c r="AK85" s="3"/>
      <c r="AM85" s="3"/>
      <c r="AN85" s="3"/>
    </row>
    <row r="86" spans="2:40" ht="13.8">
      <c r="B86" s="32" t="s">
        <v>278</v>
      </c>
      <c r="C86" s="163"/>
      <c r="D86" s="33" t="s">
        <v>74</v>
      </c>
      <c r="E86" s="34"/>
      <c r="F86" s="35"/>
      <c r="G86" s="34"/>
      <c r="H86" s="36"/>
      <c r="I86" s="37"/>
      <c r="M86" s="38"/>
      <c r="N86" s="38"/>
      <c r="O86" s="38"/>
      <c r="Q86" s="530" t="s">
        <v>74</v>
      </c>
      <c r="R86" s="34"/>
      <c r="S86" s="35"/>
      <c r="T86" s="34"/>
      <c r="U86" s="36"/>
      <c r="V86" s="37"/>
      <c r="Z86" s="38"/>
      <c r="AA86" s="38"/>
      <c r="AD86" s="530" t="str">
        <f>+Q86</f>
        <v>VPN(2)</v>
      </c>
      <c r="AE86" s="34"/>
      <c r="AF86" s="35"/>
      <c r="AG86" s="34"/>
      <c r="AH86" s="36"/>
      <c r="AI86" s="37"/>
      <c r="AM86" s="38"/>
      <c r="AN86" s="38"/>
    </row>
    <row r="87" spans="2:40" ht="13.8">
      <c r="B87" s="29" t="s">
        <v>102</v>
      </c>
      <c r="C87" s="155"/>
      <c r="D87" s="477">
        <f>SUM(E87:H87)</f>
        <v>123778.03951702913</v>
      </c>
      <c r="E87" s="39">
        <f>+E$84*E77</f>
        <v>25877.574463037468</v>
      </c>
      <c r="F87" s="39">
        <f>+F$84*F77</f>
        <v>28423.629087584184</v>
      </c>
      <c r="G87" s="39">
        <f>+G$84*G77</f>
        <v>31769.459245059385</v>
      </c>
      <c r="H87" s="39">
        <f>+H$84*H77</f>
        <v>37707.376721348097</v>
      </c>
      <c r="I87" s="40">
        <f>+I$84*I77</f>
        <v>0</v>
      </c>
      <c r="M87" s="41"/>
      <c r="N87" s="41"/>
      <c r="O87" s="41"/>
      <c r="Q87" s="531">
        <v>205159.74981340076</v>
      </c>
      <c r="R87" s="39">
        <v>46803.674244779482</v>
      </c>
      <c r="S87" s="39">
        <v>49433.844294925722</v>
      </c>
      <c r="T87" s="39">
        <v>51533.836253773079</v>
      </c>
      <c r="U87" s="39">
        <v>57388.395019922486</v>
      </c>
      <c r="V87" s="40"/>
      <c r="Z87" s="41"/>
      <c r="AA87" s="41"/>
      <c r="AD87" s="531">
        <f t="shared" ref="AD87:AD96" si="11">+Q87-D87</f>
        <v>81381.710296371632</v>
      </c>
      <c r="AE87" s="39">
        <f t="shared" si="10"/>
        <v>20926.099781742014</v>
      </c>
      <c r="AF87" s="39">
        <f t="shared" si="10"/>
        <v>21010.215207341538</v>
      </c>
      <c r="AG87" s="39">
        <f t="shared" si="10"/>
        <v>19764.377008713695</v>
      </c>
      <c r="AH87" s="39">
        <f t="shared" si="10"/>
        <v>19681.018298574389</v>
      </c>
      <c r="AI87" s="40"/>
      <c r="AM87" s="41"/>
      <c r="AN87" s="41"/>
    </row>
    <row r="88" spans="2:40" ht="14.4">
      <c r="B88" s="164" t="s">
        <v>113</v>
      </c>
      <c r="C88" s="155"/>
      <c r="D88" s="478">
        <f>SUM(E88:H88)</f>
        <v>105861.16751328038</v>
      </c>
      <c r="E88" s="42">
        <f>+E87*[27]ACTIVOS!$G$172/[27]ACTIVOS!$G$174</f>
        <v>22131.795395677684</v>
      </c>
      <c r="F88" s="42">
        <f>+F87*[27]ACTIVOS!$G$172/[27]ACTIVOS!$G$174</f>
        <v>24309.30859720178</v>
      </c>
      <c r="G88" s="42">
        <f>+G87*[27]ACTIVOS!$G$172/[27]ACTIVOS!$G$174</f>
        <v>27170.829818199451</v>
      </c>
      <c r="H88" s="42">
        <f>+H87*[27]ACTIVOS!$G$172/[27]ACTIVOS!$G$174</f>
        <v>32249.233702201462</v>
      </c>
      <c r="I88" s="40"/>
      <c r="M88" s="41"/>
      <c r="N88" s="41"/>
      <c r="O88" s="41"/>
      <c r="Q88" s="532">
        <v>175462.87472901144</v>
      </c>
      <c r="R88" s="42">
        <v>40028.842101526017</v>
      </c>
      <c r="S88" s="42">
        <v>42278.295020261561</v>
      </c>
      <c r="T88" s="42">
        <v>44074.313129770373</v>
      </c>
      <c r="U88" s="42">
        <v>49081.424477453496</v>
      </c>
      <c r="V88" s="40"/>
      <c r="Z88" s="41"/>
      <c r="AA88" s="41"/>
      <c r="AD88" s="532">
        <f t="shared" si="11"/>
        <v>69601.707215731061</v>
      </c>
      <c r="AE88" s="42">
        <f t="shared" si="10"/>
        <v>17897.046705848334</v>
      </c>
      <c r="AF88" s="42">
        <f t="shared" si="10"/>
        <v>17968.986423059781</v>
      </c>
      <c r="AG88" s="42">
        <f t="shared" si="10"/>
        <v>16903.483311570923</v>
      </c>
      <c r="AH88" s="42">
        <f t="shared" si="10"/>
        <v>16832.190775252035</v>
      </c>
      <c r="AI88" s="40"/>
      <c r="AM88" s="41"/>
      <c r="AN88" s="41"/>
    </row>
    <row r="89" spans="2:40" ht="14.4">
      <c r="B89" s="164" t="s">
        <v>114</v>
      </c>
      <c r="C89" s="155"/>
      <c r="D89" s="478">
        <f>SUM(E89:H89)</f>
        <v>17916.872003748766</v>
      </c>
      <c r="E89" s="42">
        <f>+E87*[27]ACTIVOS!$G$173/[27]ACTIVOS!$G$174</f>
        <v>3745.7790673597847</v>
      </c>
      <c r="F89" s="42">
        <f>+F87*[27]ACTIVOS!$G$173/[27]ACTIVOS!$G$174</f>
        <v>4114.3204903824062</v>
      </c>
      <c r="G89" s="42">
        <f>+G87*[27]ACTIVOS!$G$173/[27]ACTIVOS!$G$174</f>
        <v>4598.6294268599331</v>
      </c>
      <c r="H89" s="42">
        <f>+H87*[27]ACTIVOS!$G$173/[27]ACTIVOS!$G$174</f>
        <v>5458.1430191466407</v>
      </c>
      <c r="I89" s="40"/>
      <c r="K89" s="479"/>
      <c r="M89" s="41"/>
      <c r="N89" s="41"/>
      <c r="O89" s="41"/>
      <c r="Q89" s="532">
        <v>29696.875084389336</v>
      </c>
      <c r="R89" s="42">
        <v>6774.8321432534649</v>
      </c>
      <c r="S89" s="42">
        <v>7155.5492746641667</v>
      </c>
      <c r="T89" s="42">
        <v>7459.5231240027097</v>
      </c>
      <c r="U89" s="42">
        <v>8306.9705424689946</v>
      </c>
      <c r="V89" s="40"/>
      <c r="X89" s="479"/>
      <c r="Z89" s="41"/>
      <c r="AA89" s="41"/>
      <c r="AD89" s="532">
        <f t="shared" si="11"/>
        <v>11780.00308064057</v>
      </c>
      <c r="AE89" s="42">
        <f t="shared" si="10"/>
        <v>3029.0530758936802</v>
      </c>
      <c r="AF89" s="42">
        <f t="shared" si="10"/>
        <v>3041.2287842817605</v>
      </c>
      <c r="AG89" s="42">
        <f t="shared" si="10"/>
        <v>2860.8936971427765</v>
      </c>
      <c r="AH89" s="42">
        <f t="shared" si="10"/>
        <v>2848.827523322354</v>
      </c>
      <c r="AI89" s="40"/>
      <c r="AK89" s="479"/>
      <c r="AM89" s="41"/>
      <c r="AN89" s="41"/>
    </row>
    <row r="90" spans="2:40" ht="13.5" customHeight="1">
      <c r="B90" s="30" t="s">
        <v>104</v>
      </c>
      <c r="C90" s="155"/>
      <c r="D90" s="480"/>
      <c r="E90" s="39"/>
      <c r="F90" s="39"/>
      <c r="G90" s="39"/>
      <c r="H90" s="39"/>
      <c r="I90" s="40"/>
      <c r="M90" s="41"/>
      <c r="N90" s="41"/>
      <c r="O90" s="41"/>
      <c r="Q90" s="533"/>
      <c r="R90" s="39"/>
      <c r="S90" s="39"/>
      <c r="T90" s="39"/>
      <c r="U90" s="39"/>
      <c r="V90" s="40"/>
      <c r="Z90" s="41"/>
      <c r="AA90" s="41"/>
      <c r="AD90" s="533">
        <f t="shared" si="11"/>
        <v>0</v>
      </c>
      <c r="AE90" s="39">
        <f t="shared" si="10"/>
        <v>0</v>
      </c>
      <c r="AF90" s="39">
        <f t="shared" si="10"/>
        <v>0</v>
      </c>
      <c r="AG90" s="39">
        <f t="shared" si="10"/>
        <v>0</v>
      </c>
      <c r="AH90" s="39">
        <f t="shared" si="10"/>
        <v>0</v>
      </c>
      <c r="AI90" s="40"/>
      <c r="AM90" s="41"/>
      <c r="AN90" s="41"/>
    </row>
    <row r="91" spans="2:40" ht="13.8">
      <c r="B91" s="164" t="s">
        <v>115</v>
      </c>
      <c r="C91" s="155"/>
      <c r="D91" s="480">
        <f>SUM(E91:H91)</f>
        <v>27023.835191170074</v>
      </c>
      <c r="E91" s="39">
        <f>+E78*E84</f>
        <v>0</v>
      </c>
      <c r="F91" s="39">
        <f>+F78*F84</f>
        <v>0</v>
      </c>
      <c r="G91" s="39">
        <f>+G78*G84</f>
        <v>3680.7723931148689</v>
      </c>
      <c r="H91" s="39">
        <f>+H78*H84</f>
        <v>23343.062798055205</v>
      </c>
      <c r="I91" s="40"/>
      <c r="K91" s="479"/>
      <c r="M91" s="41"/>
      <c r="N91" s="41"/>
      <c r="O91" s="41"/>
      <c r="Q91" s="533">
        <v>14985.132639654974</v>
      </c>
      <c r="R91" s="39">
        <v>0</v>
      </c>
      <c r="S91" s="39">
        <v>0</v>
      </c>
      <c r="T91" s="39">
        <v>0</v>
      </c>
      <c r="U91" s="39">
        <v>14985.132639654974</v>
      </c>
      <c r="V91" s="40"/>
      <c r="X91" s="479"/>
      <c r="Z91" s="41"/>
      <c r="AA91" s="41"/>
      <c r="AD91" s="533">
        <f t="shared" si="11"/>
        <v>-12038.7025515151</v>
      </c>
      <c r="AE91" s="39">
        <f t="shared" si="10"/>
        <v>0</v>
      </c>
      <c r="AF91" s="39">
        <f t="shared" si="10"/>
        <v>0</v>
      </c>
      <c r="AG91" s="39">
        <f t="shared" si="10"/>
        <v>-3680.7723931148689</v>
      </c>
      <c r="AH91" s="39">
        <f t="shared" si="10"/>
        <v>-8357.9301584002314</v>
      </c>
      <c r="AI91" s="40"/>
      <c r="AK91" s="479"/>
      <c r="AM91" s="41"/>
      <c r="AN91" s="41"/>
    </row>
    <row r="92" spans="2:40" ht="13.8">
      <c r="B92" s="29" t="s">
        <v>66</v>
      </c>
      <c r="C92" s="155"/>
      <c r="D92" s="480">
        <f>SUM(E92:H92)</f>
        <v>7241.6875180095967</v>
      </c>
      <c r="E92" s="43">
        <f>+E$84*E79</f>
        <v>1282.089315334382</v>
      </c>
      <c r="F92" s="43">
        <f>+F$84*F79</f>
        <v>1467.1453040984534</v>
      </c>
      <c r="G92" s="43">
        <f>+G$84*G79</f>
        <v>2311.5049110638238</v>
      </c>
      <c r="H92" s="43">
        <f>+H$84*H79</f>
        <v>2180.9479875129373</v>
      </c>
      <c r="I92" s="40">
        <f>+I$84*I79</f>
        <v>0</v>
      </c>
      <c r="K92" s="3"/>
      <c r="M92" s="44"/>
      <c r="N92" s="44"/>
      <c r="O92" s="44"/>
      <c r="Q92" s="533">
        <v>16135.123894473314</v>
      </c>
      <c r="R92" s="43">
        <v>3604.9012297143545</v>
      </c>
      <c r="S92" s="43">
        <v>4576.4353171315834</v>
      </c>
      <c r="T92" s="43">
        <v>4167.307019035673</v>
      </c>
      <c r="U92" s="43">
        <v>3786.4803285917028</v>
      </c>
      <c r="V92" s="40"/>
      <c r="X92" s="3"/>
      <c r="Z92" s="44"/>
      <c r="AA92" s="44"/>
      <c r="AD92" s="533">
        <f t="shared" si="11"/>
        <v>8893.4363764637164</v>
      </c>
      <c r="AE92" s="43">
        <f t="shared" si="10"/>
        <v>2322.8119143799722</v>
      </c>
      <c r="AF92" s="43">
        <f t="shared" si="10"/>
        <v>3109.29001303313</v>
      </c>
      <c r="AG92" s="43">
        <f t="shared" si="10"/>
        <v>1855.8021079718492</v>
      </c>
      <c r="AH92" s="43">
        <f t="shared" si="10"/>
        <v>1605.5323410787655</v>
      </c>
      <c r="AI92" s="40"/>
      <c r="AK92" s="3"/>
      <c r="AM92" s="44"/>
      <c r="AN92" s="44"/>
    </row>
    <row r="93" spans="2:40" ht="13.8">
      <c r="B93" s="29" t="s">
        <v>67</v>
      </c>
      <c r="C93" s="155"/>
      <c r="D93" s="480">
        <f>SUM(E93:H93)</f>
        <v>39854.563709592796</v>
      </c>
      <c r="E93" s="43">
        <f>+E94+E95</f>
        <v>9227.5645120968911</v>
      </c>
      <c r="F93" s="43">
        <f>+F94+F95</f>
        <v>12090.27085107693</v>
      </c>
      <c r="G93" s="43">
        <f>+G94+G95</f>
        <v>9161.9511308021138</v>
      </c>
      <c r="H93" s="43">
        <f>+H94+H95</f>
        <v>9374.777215616863</v>
      </c>
      <c r="I93" s="40">
        <f>+I94+I95</f>
        <v>0</v>
      </c>
      <c r="M93" s="165"/>
      <c r="N93" s="165"/>
      <c r="O93" s="165"/>
      <c r="Q93" s="533">
        <v>39377.625397864402</v>
      </c>
      <c r="R93" s="43">
        <v>9931.3789322943703</v>
      </c>
      <c r="S93" s="43">
        <v>11844.477979530508</v>
      </c>
      <c r="T93" s="43">
        <v>8683.7317450607316</v>
      </c>
      <c r="U93" s="43">
        <v>8918.0367409787941</v>
      </c>
      <c r="V93" s="40"/>
      <c r="Z93" s="165"/>
      <c r="AA93" s="165"/>
      <c r="AD93" s="533">
        <f t="shared" si="11"/>
        <v>-476.93831172839418</v>
      </c>
      <c r="AE93" s="43">
        <f t="shared" si="10"/>
        <v>703.81442019747919</v>
      </c>
      <c r="AF93" s="43">
        <f t="shared" si="10"/>
        <v>-245.79287154642225</v>
      </c>
      <c r="AG93" s="43">
        <f t="shared" si="10"/>
        <v>-478.21938574138221</v>
      </c>
      <c r="AH93" s="43">
        <f t="shared" si="10"/>
        <v>-456.74047463806892</v>
      </c>
      <c r="AI93" s="40"/>
      <c r="AM93" s="165"/>
      <c r="AN93" s="165"/>
    </row>
    <row r="94" spans="2:40" ht="13.8">
      <c r="B94" s="164" t="s">
        <v>75</v>
      </c>
      <c r="C94" s="155"/>
      <c r="D94" s="462">
        <f>SUM(E94:H94)</f>
        <v>23470.614969955779</v>
      </c>
      <c r="E94" s="43">
        <f t="shared" ref="E94:I95" si="12">+E$84*E81</f>
        <v>6088.0314858192714</v>
      </c>
      <c r="F94" s="43">
        <f t="shared" si="12"/>
        <v>6375.5668325178722</v>
      </c>
      <c r="G94" s="43">
        <f t="shared" si="12"/>
        <v>5400.3230453470187</v>
      </c>
      <c r="H94" s="43">
        <f t="shared" si="12"/>
        <v>5606.6936062716195</v>
      </c>
      <c r="I94" s="40">
        <f t="shared" si="12"/>
        <v>0</v>
      </c>
      <c r="K94" s="3"/>
      <c r="M94" s="166"/>
      <c r="N94" s="166"/>
      <c r="O94" s="166"/>
      <c r="Q94" s="463">
        <v>23097.554296390466</v>
      </c>
      <c r="R94" s="43">
        <v>6589.546322145261</v>
      </c>
      <c r="S94" s="43">
        <v>6213.9986862668784</v>
      </c>
      <c r="T94" s="43">
        <v>5014.4846508965447</v>
      </c>
      <c r="U94" s="43">
        <v>5279.5246370817804</v>
      </c>
      <c r="V94" s="40"/>
      <c r="X94" s="3"/>
      <c r="Z94" s="166"/>
      <c r="AA94" s="166"/>
      <c r="AD94" s="463">
        <f t="shared" si="11"/>
        <v>-373.06067356531275</v>
      </c>
      <c r="AE94" s="43">
        <f t="shared" si="10"/>
        <v>501.51483632598956</v>
      </c>
      <c r="AF94" s="43">
        <f t="shared" si="10"/>
        <v>-161.56814625099378</v>
      </c>
      <c r="AG94" s="43">
        <f t="shared" si="10"/>
        <v>-385.83839445047397</v>
      </c>
      <c r="AH94" s="43">
        <f t="shared" si="10"/>
        <v>-327.16896918983912</v>
      </c>
      <c r="AI94" s="40"/>
      <c r="AK94" s="3"/>
      <c r="AM94" s="166"/>
      <c r="AN94" s="166"/>
    </row>
    <row r="95" spans="2:40" ht="13.8">
      <c r="B95" s="164" t="s">
        <v>68</v>
      </c>
      <c r="C95" s="155"/>
      <c r="D95" s="462">
        <f>SUM(E95:H95)</f>
        <v>16383.948739637015</v>
      </c>
      <c r="E95" s="43">
        <f t="shared" si="12"/>
        <v>3139.5330262776197</v>
      </c>
      <c r="F95" s="43">
        <f t="shared" si="12"/>
        <v>5714.7040185590567</v>
      </c>
      <c r="G95" s="43">
        <f t="shared" si="12"/>
        <v>3761.6280854550946</v>
      </c>
      <c r="H95" s="43">
        <f t="shared" si="12"/>
        <v>3768.0836093452435</v>
      </c>
      <c r="I95" s="40">
        <f t="shared" si="12"/>
        <v>0</v>
      </c>
      <c r="Q95" s="463">
        <v>16280.071101473941</v>
      </c>
      <c r="R95" s="43">
        <v>3341.8326101491102</v>
      </c>
      <c r="S95" s="43">
        <v>5630.4792932636301</v>
      </c>
      <c r="T95" s="43">
        <v>3669.2470941641864</v>
      </c>
      <c r="U95" s="43">
        <v>3638.5121038970133</v>
      </c>
      <c r="V95" s="40"/>
      <c r="AD95" s="463">
        <f t="shared" si="11"/>
        <v>-103.87763816307415</v>
      </c>
      <c r="AE95" s="43">
        <f t="shared" si="10"/>
        <v>202.29958387149054</v>
      </c>
      <c r="AF95" s="43">
        <f t="shared" si="10"/>
        <v>-84.224725295426651</v>
      </c>
      <c r="AG95" s="43">
        <f t="shared" si="10"/>
        <v>-92.380991290908241</v>
      </c>
      <c r="AH95" s="43">
        <f t="shared" si="10"/>
        <v>-129.57150544823025</v>
      </c>
      <c r="AI95" s="40"/>
    </row>
    <row r="96" spans="2:40" ht="28.8" thickBot="1">
      <c r="B96" s="45" t="s">
        <v>2</v>
      </c>
      <c r="C96" s="159"/>
      <c r="D96" s="534">
        <f>D87+D91+D92+D93</f>
        <v>197898.1259358016</v>
      </c>
      <c r="E96" s="46">
        <f>E87+E91+E92+E93</f>
        <v>36387.228290468745</v>
      </c>
      <c r="F96" s="46">
        <f>F87+F91+F92+F93</f>
        <v>41981.045242759566</v>
      </c>
      <c r="G96" s="46">
        <f>G87+G91+G92+G93</f>
        <v>46923.687680040195</v>
      </c>
      <c r="H96" s="46">
        <f>H87+H91+H92+H93</f>
        <v>72606.164722533096</v>
      </c>
      <c r="I96" s="47">
        <f>I87+I92+I93</f>
        <v>0</v>
      </c>
      <c r="K96" s="16"/>
      <c r="M96" s="48"/>
      <c r="N96" s="48"/>
      <c r="O96" s="48"/>
      <c r="Q96" s="535">
        <v>275657.63174539345</v>
      </c>
      <c r="R96" s="46">
        <v>60339.954406788209</v>
      </c>
      <c r="S96" s="46">
        <v>65854.757591587811</v>
      </c>
      <c r="T96" s="46">
        <v>64384.875017869483</v>
      </c>
      <c r="U96" s="46">
        <v>85078.04472914795</v>
      </c>
      <c r="V96" s="47"/>
      <c r="X96" s="16"/>
      <c r="Z96" s="48"/>
      <c r="AA96" s="48"/>
      <c r="AD96" s="535">
        <f t="shared" si="11"/>
        <v>77759.50580959185</v>
      </c>
      <c r="AE96" s="46">
        <f t="shared" si="10"/>
        <v>23952.726116319463</v>
      </c>
      <c r="AF96" s="46">
        <f t="shared" si="10"/>
        <v>23873.712348828245</v>
      </c>
      <c r="AG96" s="46">
        <f t="shared" si="10"/>
        <v>17461.187337829288</v>
      </c>
      <c r="AH96" s="46">
        <f t="shared" si="10"/>
        <v>12471.880006614854</v>
      </c>
      <c r="AI96" s="47"/>
      <c r="AK96" s="16"/>
      <c r="AM96" s="48"/>
      <c r="AN96" s="48"/>
    </row>
    <row r="97" spans="1:17">
      <c r="B97" s="9"/>
      <c r="C97" s="10"/>
      <c r="D97" s="49"/>
      <c r="E97" s="50"/>
      <c r="F97" s="10"/>
      <c r="G97" s="50"/>
      <c r="H97" s="50"/>
      <c r="I97" s="50"/>
      <c r="K97" s="3"/>
    </row>
    <row r="98" spans="1:17">
      <c r="B98" s="10" t="s">
        <v>116</v>
      </c>
      <c r="C98" s="10"/>
      <c r="D98" s="10"/>
      <c r="E98" s="10"/>
      <c r="F98" s="10"/>
      <c r="G98" s="10"/>
      <c r="H98" s="10"/>
      <c r="I98" s="49"/>
      <c r="K98" s="417"/>
    </row>
    <row r="99" spans="1:17">
      <c r="B99" s="129" t="s">
        <v>117</v>
      </c>
      <c r="C99" s="10"/>
      <c r="D99" s="10"/>
      <c r="E99" s="49"/>
      <c r="F99" s="49"/>
      <c r="G99" s="49"/>
      <c r="H99" s="49"/>
      <c r="I99" s="49"/>
      <c r="K99" s="417"/>
      <c r="Q99" s="16">
        <f>+Q96-D96</f>
        <v>77759.50580959185</v>
      </c>
    </row>
    <row r="100" spans="1:17" ht="13.8" thickBot="1">
      <c r="D100" s="482"/>
      <c r="E100" s="3"/>
      <c r="F100" t="s">
        <v>118</v>
      </c>
    </row>
    <row r="101" spans="1:17">
      <c r="F101" s="51" t="s">
        <v>119</v>
      </c>
      <c r="G101" s="52" t="s">
        <v>120</v>
      </c>
      <c r="H101" s="52" t="s">
        <v>121</v>
      </c>
      <c r="I101" s="53" t="s">
        <v>122</v>
      </c>
    </row>
    <row r="102" spans="1:17" ht="21" customHeight="1" thickBot="1">
      <c r="B102" s="1236" t="s">
        <v>123</v>
      </c>
      <c r="C102" s="1237"/>
      <c r="F102" s="167">
        <f>+E84</f>
        <v>0.96697771116375775</v>
      </c>
      <c r="G102" s="168">
        <f>+F84</f>
        <v>0.90515558472690982</v>
      </c>
      <c r="H102" s="168">
        <f>+G84</f>
        <v>0.84728595406431695</v>
      </c>
      <c r="I102" s="169">
        <f>+H84</f>
        <v>0.79311612287214917</v>
      </c>
      <c r="M102" s="1233"/>
      <c r="N102" s="1233"/>
      <c r="O102" s="1233"/>
    </row>
    <row r="103" spans="1:17" ht="18.75" customHeight="1">
      <c r="B103" s="54" t="s">
        <v>124</v>
      </c>
      <c r="C103" s="55">
        <f>+D92</f>
        <v>7241.6875180095967</v>
      </c>
      <c r="D103" s="170"/>
      <c r="E103" s="170"/>
      <c r="F103" s="170"/>
      <c r="G103" s="170"/>
      <c r="M103" s="417"/>
      <c r="N103" s="417"/>
      <c r="O103" s="417"/>
    </row>
    <row r="104" spans="1:17" ht="18.75" customHeight="1">
      <c r="B104" s="54" t="s">
        <v>125</v>
      </c>
      <c r="C104" s="55">
        <f>+G108*F102+H108*G102+I108*H102+J108*I102</f>
        <v>891.0011419040494</v>
      </c>
      <c r="D104" s="170"/>
      <c r="E104" s="170"/>
      <c r="F104" s="170"/>
      <c r="G104" s="171">
        <v>2013</v>
      </c>
      <c r="H104" s="56">
        <v>2014</v>
      </c>
      <c r="I104" s="171">
        <v>2015</v>
      </c>
      <c r="J104" s="56">
        <v>2016</v>
      </c>
      <c r="K104" s="171">
        <v>2017</v>
      </c>
      <c r="M104" s="417"/>
      <c r="N104" s="417"/>
      <c r="O104" s="417"/>
    </row>
    <row r="105" spans="1:17" ht="21" customHeight="1">
      <c r="B105" s="57" t="s">
        <v>126</v>
      </c>
      <c r="C105" s="58">
        <f>+C103/C104</f>
        <v>8.1275850023427285</v>
      </c>
      <c r="D105" s="170"/>
      <c r="E105" s="170"/>
      <c r="F105" s="56" t="s">
        <v>127</v>
      </c>
      <c r="G105" s="59"/>
      <c r="H105" s="59"/>
      <c r="I105" s="59"/>
      <c r="J105" s="59"/>
      <c r="K105" s="59"/>
      <c r="M105" s="417"/>
      <c r="N105" s="417"/>
      <c r="O105" s="417"/>
    </row>
    <row r="106" spans="1:17">
      <c r="D106" s="170"/>
      <c r="E106" s="170"/>
      <c r="M106" s="417"/>
      <c r="N106" s="417"/>
      <c r="O106" s="417"/>
    </row>
    <row r="107" spans="1:17">
      <c r="G107" s="172" t="s">
        <v>72</v>
      </c>
      <c r="H107" s="56" t="s">
        <v>109</v>
      </c>
      <c r="I107" s="56" t="s">
        <v>110</v>
      </c>
      <c r="J107" s="56" t="s">
        <v>111</v>
      </c>
      <c r="K107" s="41"/>
      <c r="L107" s="41"/>
      <c r="M107" s="41"/>
      <c r="N107" s="41"/>
      <c r="O107" s="41"/>
    </row>
    <row r="108" spans="1:17">
      <c r="F108" s="56" t="s">
        <v>127</v>
      </c>
      <c r="G108" s="59">
        <f>+F50+F51+G50+G51+(D24/2+E31)*$D$11+(E24/2+F30)*$D$11+(D24/2+E31)*3%+(E24/2+F30)*3%</f>
        <v>0</v>
      </c>
      <c r="H108" s="59">
        <f>+H50+H51+I50+I51+(E24/2+F31)*$D$11+(F24/2+G30)*$D$11+(E24/2+F31)*3%+(F24/2+G30)*3%</f>
        <v>338.38979999999992</v>
      </c>
      <c r="I108" s="59">
        <f>+J50+J51+K50+K51+(F24/2+G31)*$D$11+(G24/2+H30)*$D$11+(F24/2+G31)*3%+(G24/2+H30)*3%</f>
        <v>690.09255000000007</v>
      </c>
      <c r="J108" s="59">
        <f>+L50+L51+M50+M51+(G24/2+H31)*$D$11+(H24/2+I30)*$D$11+(G24/2+H31)*3%+(H24/2+I30)*3%</f>
        <v>0</v>
      </c>
      <c r="K108" s="41"/>
      <c r="L108" s="41"/>
      <c r="M108" s="41"/>
      <c r="N108" s="41"/>
      <c r="O108" s="41"/>
    </row>
    <row r="109" spans="1:17">
      <c r="A109" s="483"/>
      <c r="B109" s="483"/>
      <c r="C109" s="483"/>
      <c r="D109" s="483"/>
      <c r="E109" s="483"/>
      <c r="F109" s="483"/>
      <c r="G109" s="483"/>
      <c r="H109" s="483"/>
      <c r="I109" s="483"/>
      <c r="J109" s="484"/>
      <c r="K109" s="484"/>
      <c r="L109" s="484"/>
      <c r="M109" s="484"/>
      <c r="N109" s="484"/>
      <c r="O109" s="484"/>
    </row>
    <row r="110" spans="1:17">
      <c r="E110" s="16"/>
      <c r="J110" s="41"/>
      <c r="K110" s="41"/>
      <c r="L110" s="41"/>
      <c r="M110" s="41"/>
      <c r="N110" s="41"/>
      <c r="O110" s="41"/>
    </row>
    <row r="111" spans="1:17">
      <c r="B111" s="149" t="s">
        <v>255</v>
      </c>
      <c r="C111">
        <f>73-58</f>
        <v>15</v>
      </c>
      <c r="J111" s="41"/>
      <c r="K111" s="41"/>
      <c r="L111" s="41"/>
      <c r="M111" s="41"/>
      <c r="N111" s="41"/>
      <c r="O111" s="41"/>
    </row>
    <row r="112" spans="1:17">
      <c r="D112" s="16"/>
      <c r="I112" s="48"/>
      <c r="J112" s="41"/>
      <c r="K112" s="41"/>
      <c r="L112" s="41"/>
      <c r="M112" s="41"/>
      <c r="N112" s="41"/>
      <c r="O112" s="41"/>
    </row>
    <row r="113" spans="2:9" ht="13.8" thickBot="1"/>
    <row r="114" spans="2:9">
      <c r="B114" s="11" t="s">
        <v>41</v>
      </c>
      <c r="C114" s="60" t="s">
        <v>42</v>
      </c>
      <c r="D114" s="60">
        <v>2008</v>
      </c>
      <c r="E114" s="12">
        <v>2009</v>
      </c>
      <c r="F114" s="60">
        <v>2010</v>
      </c>
      <c r="G114" s="60">
        <v>2011</v>
      </c>
      <c r="H114" s="60">
        <v>2012</v>
      </c>
      <c r="I114" s="61">
        <v>2013</v>
      </c>
    </row>
    <row r="115" spans="2:9">
      <c r="B115" s="62" t="s">
        <v>43</v>
      </c>
      <c r="C115" s="63" t="s">
        <v>44</v>
      </c>
      <c r="D115" s="173"/>
      <c r="E115" s="173">
        <v>1.4195243750092958E-2</v>
      </c>
      <c r="F115" s="173">
        <v>1.4195243750092958E-2</v>
      </c>
      <c r="G115" s="173">
        <v>1.4195243750092958E-2</v>
      </c>
      <c r="H115" s="173">
        <v>1.4195243750092958E-2</v>
      </c>
      <c r="I115" s="174">
        <v>1.4195243750092958E-2</v>
      </c>
    </row>
    <row r="116" spans="2:9">
      <c r="B116" s="175" t="s">
        <v>45</v>
      </c>
      <c r="C116" s="64" t="s">
        <v>44</v>
      </c>
      <c r="D116" s="176"/>
      <c r="E116" s="176">
        <v>7.6435927885115966E-3</v>
      </c>
      <c r="F116" s="176">
        <v>7.6435927885115966E-3</v>
      </c>
      <c r="G116" s="176">
        <v>7.6435927885115966E-3</v>
      </c>
      <c r="H116" s="176">
        <v>7.6435927885115966E-3</v>
      </c>
      <c r="I116" s="177">
        <v>7.6435927885115966E-3</v>
      </c>
    </row>
    <row r="117" spans="2:9">
      <c r="B117" s="65" t="s">
        <v>46</v>
      </c>
      <c r="C117" s="66" t="s">
        <v>44</v>
      </c>
      <c r="D117" s="178">
        <v>0.1071</v>
      </c>
      <c r="E117" s="179">
        <v>2.1838836538604554E-2</v>
      </c>
      <c r="F117" s="179">
        <v>2.1838836538604554E-2</v>
      </c>
      <c r="G117" s="179">
        <v>2.1838836538604554E-2</v>
      </c>
      <c r="H117" s="179">
        <v>2.1838836538604554E-2</v>
      </c>
      <c r="I117" s="180">
        <v>2.1838836538604554E-2</v>
      </c>
    </row>
    <row r="118" spans="2:9">
      <c r="B118" s="67" t="s">
        <v>47</v>
      </c>
      <c r="C118" s="64"/>
      <c r="D118" s="64"/>
      <c r="E118" s="68"/>
      <c r="F118" s="68"/>
      <c r="G118" s="68"/>
      <c r="H118" s="69"/>
      <c r="I118" s="181"/>
    </row>
    <row r="119" spans="2:9">
      <c r="B119" s="70" t="s">
        <v>48</v>
      </c>
      <c r="C119" s="64" t="s">
        <v>49</v>
      </c>
      <c r="D119" s="422">
        <v>287823.22474260518</v>
      </c>
      <c r="E119" s="422">
        <v>317368.79106403381</v>
      </c>
      <c r="F119" s="422">
        <v>324627.4130175598</v>
      </c>
      <c r="G119" s="422">
        <v>361039.66187036497</v>
      </c>
      <c r="H119" s="422">
        <v>387471.66187036497</v>
      </c>
      <c r="I119" s="485">
        <v>388263.66187036497</v>
      </c>
    </row>
    <row r="120" spans="2:9">
      <c r="B120" s="70" t="s">
        <v>50</v>
      </c>
      <c r="C120" s="64" t="s">
        <v>49</v>
      </c>
      <c r="D120" s="422">
        <v>23032.303161225453</v>
      </c>
      <c r="E120" s="422">
        <v>23032.303161225453</v>
      </c>
      <c r="F120" s="422">
        <v>23032.303161225453</v>
      </c>
      <c r="G120" s="422">
        <v>36259.303161225456</v>
      </c>
      <c r="H120" s="422">
        <v>43187.303161225456</v>
      </c>
      <c r="I120" s="485">
        <v>43187.303161225456</v>
      </c>
    </row>
    <row r="121" spans="2:9">
      <c r="B121" s="70" t="s">
        <v>51</v>
      </c>
      <c r="C121" s="64" t="s">
        <v>49</v>
      </c>
      <c r="D121" s="422">
        <v>2000.9</v>
      </c>
      <c r="E121" s="422">
        <v>2000.9</v>
      </c>
      <c r="F121" s="422">
        <v>2000.9</v>
      </c>
      <c r="G121" s="422">
        <v>2000.9</v>
      </c>
      <c r="H121" s="422">
        <v>2000.9</v>
      </c>
      <c r="I121" s="485">
        <v>2000.9</v>
      </c>
    </row>
    <row r="122" spans="2:9">
      <c r="B122" s="70" t="s">
        <v>52</v>
      </c>
      <c r="C122" s="64" t="s">
        <v>49</v>
      </c>
      <c r="D122" s="422">
        <v>173831.96291572356</v>
      </c>
      <c r="E122" s="422">
        <v>194289.63456082254</v>
      </c>
      <c r="F122" s="422">
        <v>191048.37460614389</v>
      </c>
      <c r="G122" s="422">
        <v>217250.31563437084</v>
      </c>
      <c r="H122" s="422">
        <v>231739.0052868487</v>
      </c>
      <c r="I122" s="485">
        <v>219971.35993932659</v>
      </c>
    </row>
    <row r="123" spans="2:9">
      <c r="B123" s="70" t="s">
        <v>53</v>
      </c>
      <c r="C123" s="64" t="s">
        <v>49</v>
      </c>
      <c r="D123" s="422">
        <v>11189.651451084055</v>
      </c>
      <c r="E123" s="422">
        <v>10597.665134563566</v>
      </c>
      <c r="F123" s="422">
        <v>10005.678818043076</v>
      </c>
      <c r="G123" s="422">
        <v>22427.927729634444</v>
      </c>
      <c r="H123" s="422">
        <v>28268.215585062309</v>
      </c>
      <c r="I123" s="485">
        <v>27071.579268541824</v>
      </c>
    </row>
    <row r="124" spans="2:9">
      <c r="B124" s="70" t="s">
        <v>54</v>
      </c>
      <c r="C124" s="64" t="s">
        <v>49</v>
      </c>
      <c r="D124" s="422">
        <v>549.3154999999997</v>
      </c>
      <c r="E124" s="422">
        <v>479.28399999999965</v>
      </c>
      <c r="F124" s="422">
        <v>409.2524999999996</v>
      </c>
      <c r="G124" s="422">
        <v>339.22099999999955</v>
      </c>
      <c r="H124" s="422">
        <v>269.1894999999995</v>
      </c>
      <c r="I124" s="485">
        <v>199.15799999999945</v>
      </c>
    </row>
    <row r="125" spans="2:9">
      <c r="B125" s="71" t="s">
        <v>55</v>
      </c>
      <c r="C125" s="64"/>
      <c r="D125" s="64"/>
      <c r="E125" s="68"/>
      <c r="F125" s="68"/>
      <c r="G125" s="68"/>
      <c r="H125" s="68"/>
      <c r="I125" s="181"/>
    </row>
    <row r="126" spans="2:9">
      <c r="B126" s="70" t="s">
        <v>56</v>
      </c>
      <c r="C126" s="64" t="s">
        <v>49</v>
      </c>
      <c r="D126" s="422">
        <v>424886.69183745852</v>
      </c>
      <c r="E126" s="422">
        <v>456675.17482555378</v>
      </c>
      <c r="F126" s="422">
        <v>469585.88011241314</v>
      </c>
      <c r="G126" s="422">
        <v>510048.12896521832</v>
      </c>
      <c r="H126" s="422">
        <v>536480.12896521832</v>
      </c>
      <c r="I126" s="485">
        <v>537272.12896521832</v>
      </c>
    </row>
    <row r="127" spans="2:9">
      <c r="B127" s="70" t="s">
        <v>57</v>
      </c>
      <c r="C127" s="64" t="s">
        <v>49</v>
      </c>
      <c r="D127" s="422">
        <v>31847.854297104881</v>
      </c>
      <c r="E127" s="422">
        <v>31847.854297104881</v>
      </c>
      <c r="F127" s="422">
        <v>31847.854297104881</v>
      </c>
      <c r="G127" s="422">
        <v>45074.854297104881</v>
      </c>
      <c r="H127" s="422">
        <v>52002.854297104881</v>
      </c>
      <c r="I127" s="485">
        <v>52002.854297104881</v>
      </c>
    </row>
    <row r="128" spans="2:9">
      <c r="B128" s="71" t="s">
        <v>58</v>
      </c>
      <c r="C128" s="64"/>
      <c r="D128" s="64"/>
      <c r="E128" s="68"/>
      <c r="F128" s="68"/>
      <c r="G128" s="68"/>
      <c r="H128" s="68"/>
      <c r="I128" s="181"/>
    </row>
    <row r="129" spans="2:15">
      <c r="B129" s="70" t="s">
        <v>56</v>
      </c>
      <c r="C129" s="64" t="s">
        <v>49</v>
      </c>
      <c r="D129" s="486" t="s">
        <v>59</v>
      </c>
      <c r="E129" s="422">
        <v>17520.674741071463</v>
      </c>
      <c r="F129" s="422">
        <v>609.58333333333337</v>
      </c>
      <c r="G129" s="422">
        <v>19154.5</v>
      </c>
      <c r="H129" s="422">
        <v>13267.000000000002</v>
      </c>
      <c r="I129" s="485">
        <v>0</v>
      </c>
    </row>
    <row r="130" spans="2:15" ht="13.8" thickBot="1">
      <c r="B130" s="72" t="s">
        <v>57</v>
      </c>
      <c r="C130" s="73" t="s">
        <v>49</v>
      </c>
      <c r="D130" s="487" t="s">
        <v>59</v>
      </c>
      <c r="E130" s="488">
        <v>0</v>
      </c>
      <c r="F130" s="488">
        <v>0</v>
      </c>
      <c r="G130" s="488">
        <v>8278</v>
      </c>
      <c r="H130" s="488">
        <v>3848.5</v>
      </c>
      <c r="I130" s="489">
        <v>0</v>
      </c>
    </row>
    <row r="131" spans="2:15" ht="13.8" thickBot="1"/>
    <row r="132" spans="2:15">
      <c r="B132" s="74" t="s">
        <v>60</v>
      </c>
      <c r="C132" s="75"/>
      <c r="D132" s="76">
        <v>2008</v>
      </c>
      <c r="E132" s="77">
        <v>2009</v>
      </c>
      <c r="F132" s="76">
        <v>2010</v>
      </c>
      <c r="G132" s="76">
        <v>2011</v>
      </c>
      <c r="H132" s="76">
        <v>2012</v>
      </c>
      <c r="I132" s="78">
        <v>2013</v>
      </c>
      <c r="J132" s="41"/>
      <c r="K132" s="41"/>
      <c r="L132" s="41"/>
      <c r="M132" s="41"/>
      <c r="N132" s="41"/>
      <c r="O132" s="41"/>
    </row>
    <row r="133" spans="2:15">
      <c r="B133" s="79"/>
      <c r="C133" s="80"/>
      <c r="D133" s="80"/>
      <c r="E133" s="81"/>
      <c r="F133" s="82"/>
      <c r="G133" s="82"/>
      <c r="H133" s="82"/>
      <c r="I133" s="83"/>
      <c r="K133" s="3"/>
      <c r="M133" s="182"/>
      <c r="N133" s="182"/>
      <c r="O133" s="182"/>
    </row>
    <row r="134" spans="2:15">
      <c r="B134" s="19" t="s">
        <v>61</v>
      </c>
      <c r="C134" s="84"/>
      <c r="D134" s="84"/>
      <c r="E134" s="430">
        <v>39243.424331555376</v>
      </c>
      <c r="F134" s="430">
        <v>41360.155229695963</v>
      </c>
      <c r="G134" s="430">
        <v>43396.556965986703</v>
      </c>
      <c r="H134" s="430">
        <v>48060.308411613427</v>
      </c>
      <c r="I134" s="431">
        <v>49094.994656424533</v>
      </c>
    </row>
    <row r="135" spans="2:15">
      <c r="B135" s="175" t="s">
        <v>62</v>
      </c>
      <c r="C135" s="64" t="s">
        <v>49</v>
      </c>
      <c r="D135" s="85"/>
      <c r="E135" s="490">
        <v>6280.0804054189621</v>
      </c>
      <c r="F135" s="490">
        <v>6491.2686052677118</v>
      </c>
      <c r="G135" s="490">
        <v>6937.788826208789</v>
      </c>
      <c r="H135" s="490">
        <v>7428.5858137726054</v>
      </c>
      <c r="I135" s="491">
        <v>7615.4661977425794</v>
      </c>
      <c r="M135" s="48"/>
      <c r="N135" s="48"/>
      <c r="O135" s="48"/>
    </row>
    <row r="136" spans="2:15">
      <c r="B136" s="175" t="s">
        <v>63</v>
      </c>
      <c r="C136" s="64" t="s">
        <v>49</v>
      </c>
      <c r="D136" s="85"/>
      <c r="E136" s="490">
        <v>3381.5817567640584</v>
      </c>
      <c r="F136" s="490">
        <v>3495.2984797595391</v>
      </c>
      <c r="G136" s="490">
        <v>3735.7324448816576</v>
      </c>
      <c r="H136" s="490">
        <v>4000.007745877559</v>
      </c>
      <c r="I136" s="491">
        <v>4100.6356449383138</v>
      </c>
      <c r="K136" s="3"/>
    </row>
    <row r="137" spans="2:15">
      <c r="B137" s="175" t="s">
        <v>64</v>
      </c>
      <c r="C137" s="64" t="s">
        <v>49</v>
      </c>
      <c r="D137" s="85"/>
      <c r="E137" s="422">
        <v>9087.8946763296135</v>
      </c>
      <c r="F137" s="422">
        <v>10499.881908204616</v>
      </c>
      <c r="G137" s="422">
        <v>10210.307824578251</v>
      </c>
      <c r="H137" s="422">
        <v>11943.310347522145</v>
      </c>
      <c r="I137" s="485">
        <v>12559.645347522148</v>
      </c>
      <c r="K137" s="417"/>
    </row>
    <row r="138" spans="2:15">
      <c r="B138" s="175" t="s">
        <v>65</v>
      </c>
      <c r="C138" s="64" t="s">
        <v>49</v>
      </c>
      <c r="D138" s="85"/>
      <c r="E138" s="490">
        <v>20493.867493042748</v>
      </c>
      <c r="F138" s="490">
        <v>20873.706236464095</v>
      </c>
      <c r="G138" s="490">
        <v>22512.727870318009</v>
      </c>
      <c r="H138" s="490">
        <v>24688.404504441118</v>
      </c>
      <c r="I138" s="491">
        <v>24819.247466221495</v>
      </c>
      <c r="K138" s="417"/>
    </row>
    <row r="139" spans="2:15">
      <c r="B139" s="118"/>
      <c r="C139" s="85"/>
      <c r="D139" s="85"/>
      <c r="E139" s="183"/>
      <c r="F139" s="183"/>
      <c r="G139" s="183"/>
      <c r="H139" s="183"/>
      <c r="I139" s="184"/>
      <c r="K139" s="417"/>
    </row>
    <row r="140" spans="2:15">
      <c r="B140" s="19" t="s">
        <v>66</v>
      </c>
      <c r="C140" s="84"/>
      <c r="D140" s="84"/>
      <c r="E140" s="430">
        <v>2485.9180710313603</v>
      </c>
      <c r="F140" s="430">
        <v>2422.5163365320159</v>
      </c>
      <c r="G140" s="430">
        <v>3639.2350627873798</v>
      </c>
      <c r="H140" s="430">
        <v>4970.3466918306931</v>
      </c>
      <c r="I140" s="431">
        <v>5359.8440402160068</v>
      </c>
      <c r="K140" s="417"/>
    </row>
    <row r="141" spans="2:15">
      <c r="B141" s="175" t="s">
        <v>62</v>
      </c>
      <c r="C141" s="64" t="s">
        <v>49</v>
      </c>
      <c r="D141" s="85"/>
      <c r="E141" s="422">
        <v>452.08805466484921</v>
      </c>
      <c r="F141" s="422">
        <v>452.08805466484921</v>
      </c>
      <c r="G141" s="422">
        <v>569.59628242811868</v>
      </c>
      <c r="H141" s="422">
        <v>694.4789393195615</v>
      </c>
      <c r="I141" s="485">
        <v>738.19319244797282</v>
      </c>
    </row>
    <row r="142" spans="2:15">
      <c r="B142" s="175" t="s">
        <v>63</v>
      </c>
      <c r="C142" s="64" t="s">
        <v>49</v>
      </c>
      <c r="D142" s="85"/>
      <c r="E142" s="422">
        <v>243.43202943491892</v>
      </c>
      <c r="F142" s="422">
        <v>243.43202943491892</v>
      </c>
      <c r="G142" s="422">
        <v>306.70569053821794</v>
      </c>
      <c r="H142" s="422">
        <v>373.95019809514872</v>
      </c>
      <c r="I142" s="485">
        <v>397.48864208737018</v>
      </c>
    </row>
    <row r="143" spans="2:15">
      <c r="B143" s="175" t="s">
        <v>64</v>
      </c>
      <c r="C143" s="64" t="s">
        <v>49</v>
      </c>
      <c r="D143" s="85"/>
      <c r="E143" s="422">
        <v>591.98631652049005</v>
      </c>
      <c r="F143" s="422">
        <v>591.98631652049005</v>
      </c>
      <c r="G143" s="422">
        <v>804.75108840862993</v>
      </c>
      <c r="H143" s="422">
        <v>1087.7121445721336</v>
      </c>
      <c r="I143" s="485">
        <v>1196.63631652049</v>
      </c>
    </row>
    <row r="144" spans="2:15">
      <c r="B144" s="175" t="s">
        <v>65</v>
      </c>
      <c r="C144" s="64" t="s">
        <v>49</v>
      </c>
      <c r="D144" s="85"/>
      <c r="E144" s="422">
        <v>1198.4116704111023</v>
      </c>
      <c r="F144" s="422">
        <v>1135.0099359117578</v>
      </c>
      <c r="G144" s="422">
        <v>1958.1820014124132</v>
      </c>
      <c r="H144" s="422">
        <v>2814.2054098438489</v>
      </c>
      <c r="I144" s="485">
        <v>3027.5258891601734</v>
      </c>
    </row>
    <row r="145" spans="2:9">
      <c r="B145" s="175"/>
      <c r="C145" s="85"/>
      <c r="D145" s="85"/>
      <c r="E145" s="422"/>
      <c r="F145" s="422"/>
      <c r="G145" s="422"/>
      <c r="H145" s="422"/>
      <c r="I145" s="485"/>
    </row>
    <row r="146" spans="2:9">
      <c r="B146" s="86" t="s">
        <v>67</v>
      </c>
      <c r="C146" s="84"/>
      <c r="D146" s="84"/>
      <c r="E146" s="430">
        <v>5403.5136870373417</v>
      </c>
      <c r="F146" s="430">
        <v>5587.413313387342</v>
      </c>
      <c r="G146" s="430">
        <v>5681.212939737341</v>
      </c>
      <c r="H146" s="430">
        <v>5758.0125660873418</v>
      </c>
      <c r="I146" s="431">
        <v>5888.2121924373414</v>
      </c>
    </row>
    <row r="147" spans="2:9">
      <c r="B147" s="118" t="s">
        <v>71</v>
      </c>
      <c r="C147" s="64" t="s">
        <v>49</v>
      </c>
      <c r="D147" s="492"/>
      <c r="E147" s="492">
        <v>2697.6504969873417</v>
      </c>
      <c r="F147" s="492">
        <v>2697.6504969873417</v>
      </c>
      <c r="G147" s="492">
        <v>2697.6504969873417</v>
      </c>
      <c r="H147" s="492">
        <v>2697.6504969873417</v>
      </c>
      <c r="I147" s="493">
        <v>2697.6504969873417</v>
      </c>
    </row>
    <row r="148" spans="2:9">
      <c r="B148" s="118" t="s">
        <v>68</v>
      </c>
      <c r="C148" s="64" t="s">
        <v>49</v>
      </c>
      <c r="D148" s="492"/>
      <c r="E148" s="492">
        <v>2705.86319005</v>
      </c>
      <c r="F148" s="492">
        <v>2889.7628164000002</v>
      </c>
      <c r="G148" s="492">
        <v>2983.5624427499997</v>
      </c>
      <c r="H148" s="492">
        <v>3060.3620691000001</v>
      </c>
      <c r="I148" s="493">
        <v>3190.5616954499997</v>
      </c>
    </row>
    <row r="149" spans="2:9">
      <c r="B149" s="175"/>
      <c r="C149" s="85"/>
      <c r="D149" s="85"/>
      <c r="E149" s="87"/>
      <c r="F149" s="87"/>
      <c r="G149" s="87"/>
      <c r="H149" s="88"/>
      <c r="I149" s="89"/>
    </row>
    <row r="150" spans="2:9" ht="13.8" thickBot="1">
      <c r="B150" s="21" t="s">
        <v>2</v>
      </c>
      <c r="C150" s="90"/>
      <c r="D150" s="90"/>
      <c r="E150" s="494">
        <v>47132.856089624074</v>
      </c>
      <c r="F150" s="494">
        <v>49370.084879615322</v>
      </c>
      <c r="G150" s="494">
        <v>52717.004968511428</v>
      </c>
      <c r="H150" s="494">
        <v>58788.667669531467</v>
      </c>
      <c r="I150" s="495">
        <v>60343.05088907788</v>
      </c>
    </row>
  </sheetData>
  <mergeCells count="17">
    <mergeCell ref="B3:I3"/>
    <mergeCell ref="B4:I4"/>
    <mergeCell ref="B5:I5"/>
    <mergeCell ref="Q5:V5"/>
    <mergeCell ref="AD5:AI5"/>
    <mergeCell ref="B33:C34"/>
    <mergeCell ref="B64:I64"/>
    <mergeCell ref="Q64:V64"/>
    <mergeCell ref="AD64:AI64"/>
    <mergeCell ref="B102:C102"/>
    <mergeCell ref="M102:O102"/>
    <mergeCell ref="B62:I62"/>
    <mergeCell ref="Q62:V62"/>
    <mergeCell ref="AD62:AI62"/>
    <mergeCell ref="B63:I63"/>
    <mergeCell ref="Q63:V63"/>
    <mergeCell ref="AD63:AI63"/>
  </mergeCells>
  <printOptions horizontalCentered="1" verticalCentered="1"/>
  <pageMargins left="0.70866141732283472" right="0.70866141732283472" top="0.74803149606299213" bottom="0.74803149606299213" header="0.31496062992125984" footer="0.31496062992125984"/>
  <pageSetup scale="39" orientation="landscape" r:id="rId1"/>
  <rowBreaks count="2" manualBreakCount="2">
    <brk id="96" max="16383" man="1"/>
    <brk id="108" max="16383" man="1"/>
  </rowBreaks>
  <colBreaks count="1" manualBreakCount="1">
    <brk id="14"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N291"/>
  <sheetViews>
    <sheetView showGridLines="0" workbookViewId="0">
      <selection activeCell="A11" sqref="A11:N15"/>
    </sheetView>
  </sheetViews>
  <sheetFormatPr baseColWidth="10" defaultColWidth="11.44140625" defaultRowHeight="13.2"/>
  <cols>
    <col min="1" max="16384" width="11.44140625" style="277"/>
  </cols>
  <sheetData>
    <row r="3" spans="2:14" ht="13.8">
      <c r="B3" s="275" t="s">
        <v>128</v>
      </c>
      <c r="C3" s="276">
        <v>3</v>
      </c>
      <c r="D3" s="276" t="s">
        <v>220</v>
      </c>
    </row>
    <row r="4" spans="2:14">
      <c r="B4" s="368"/>
      <c r="C4" s="369" t="s">
        <v>202</v>
      </c>
      <c r="D4" s="280"/>
      <c r="E4" s="281" t="s">
        <v>131</v>
      </c>
      <c r="F4" s="282"/>
      <c r="G4" s="283" t="s">
        <v>132</v>
      </c>
    </row>
    <row r="5" spans="2:14" ht="13.8">
      <c r="B5" s="325" t="s">
        <v>133</v>
      </c>
      <c r="C5" s="370">
        <v>62040.60506720579</v>
      </c>
      <c r="D5" s="371">
        <f>C5/$C$5</f>
        <v>1</v>
      </c>
      <c r="E5" s="372" t="e">
        <f>SUM(E6:E7)</f>
        <v>#VALUE!</v>
      </c>
      <c r="F5" s="96" t="e">
        <f>E5/$D$3</f>
        <v>#VALUE!</v>
      </c>
      <c r="G5" s="288" t="s">
        <v>134</v>
      </c>
      <c r="I5" s="289" t="s">
        <v>135</v>
      </c>
      <c r="J5" s="92">
        <v>0.7</v>
      </c>
      <c r="K5" s="373">
        <f>J5*C5</f>
        <v>43428.423547044047</v>
      </c>
    </row>
    <row r="6" spans="2:14">
      <c r="B6" s="374" t="s">
        <v>115</v>
      </c>
      <c r="C6" s="375">
        <f>0.85617724*C5</f>
        <v>53117.754014370264</v>
      </c>
      <c r="D6" s="98">
        <f t="shared" ref="D6:D7" si="0">C6/$C$5</f>
        <v>0.85617723999999995</v>
      </c>
      <c r="E6" s="376" t="e">
        <f>SUMIFS([19]Ram!H4:H1002,[19]Ram!D4:D1002,230,[19]Ram!G4:G1002,"S")</f>
        <v>#VALUE!</v>
      </c>
      <c r="F6" s="97" t="e">
        <f>E6/$D$3</f>
        <v>#VALUE!</v>
      </c>
      <c r="G6" s="377" t="e">
        <f>C6/E6</f>
        <v>#VALUE!</v>
      </c>
      <c r="I6" s="289" t="s">
        <v>136</v>
      </c>
      <c r="J6" s="92">
        <v>0.3</v>
      </c>
      <c r="K6" s="373">
        <f>J6*C5</f>
        <v>18612.181520161736</v>
      </c>
    </row>
    <row r="7" spans="2:14">
      <c r="B7" s="378" t="s">
        <v>137</v>
      </c>
      <c r="C7" s="379">
        <f>0.14382276*C5</f>
        <v>8922.8510528355218</v>
      </c>
      <c r="D7" s="95">
        <f t="shared" si="0"/>
        <v>0.14382275999999999</v>
      </c>
      <c r="E7" s="380" t="e">
        <f>SUMIFS([19]Ram!H4:H1002,[19]Ram!D4:D1002,115,[19]Ram!G4:G1002,"S")</f>
        <v>#VALUE!</v>
      </c>
      <c r="F7" s="99" t="e">
        <f>E7/$D$3</f>
        <v>#VALUE!</v>
      </c>
      <c r="G7" s="381" t="e">
        <f>C7/E7</f>
        <v>#VALUE!</v>
      </c>
    </row>
    <row r="8" spans="2:14">
      <c r="B8" s="300"/>
      <c r="C8" s="300"/>
      <c r="I8" s="302" t="s">
        <v>233</v>
      </c>
      <c r="N8" s="303">
        <v>9007.1340632439369</v>
      </c>
    </row>
    <row r="9" spans="2:14" ht="13.8">
      <c r="B9" s="319" t="s">
        <v>138</v>
      </c>
      <c r="C9" s="370">
        <v>0</v>
      </c>
      <c r="D9" s="91">
        <v>1</v>
      </c>
      <c r="E9" s="382" t="e">
        <f>SUMIFS([19]Ram!H4:H1002,[19]Ram!D4:D1002,230,[19]Ram!G4:G1002,"SD")</f>
        <v>#VALUE!</v>
      </c>
      <c r="F9" s="91">
        <v>1</v>
      </c>
      <c r="G9" s="383">
        <f>IF(C9&gt;0,C9/E9,0)</f>
        <v>0</v>
      </c>
      <c r="H9" s="277" t="s">
        <v>139</v>
      </c>
    </row>
    <row r="11" spans="2:14">
      <c r="B11" s="306" t="s">
        <v>272</v>
      </c>
    </row>
    <row r="12" spans="2:14">
      <c r="B12" s="307" t="s">
        <v>140</v>
      </c>
      <c r="C12" s="308" t="s">
        <v>20</v>
      </c>
      <c r="D12" s="309" t="s">
        <v>21</v>
      </c>
      <c r="E12" s="309" t="s">
        <v>22</v>
      </c>
      <c r="F12" s="309" t="s">
        <v>23</v>
      </c>
      <c r="G12" s="309" t="s">
        <v>24</v>
      </c>
      <c r="H12" s="309" t="s">
        <v>25</v>
      </c>
      <c r="I12" s="309" t="s">
        <v>26</v>
      </c>
      <c r="J12" s="309" t="s">
        <v>27</v>
      </c>
      <c r="K12" s="309" t="s">
        <v>28</v>
      </c>
      <c r="L12" s="310" t="s">
        <v>29</v>
      </c>
      <c r="M12" s="311" t="s">
        <v>16</v>
      </c>
    </row>
    <row r="13" spans="2:14">
      <c r="B13" s="312" t="s">
        <v>141</v>
      </c>
      <c r="C13" s="384">
        <f>E19</f>
        <v>260.2</v>
      </c>
      <c r="D13" s="384">
        <f>E26</f>
        <v>537.77</v>
      </c>
      <c r="E13" s="384">
        <f>E33</f>
        <v>169.17</v>
      </c>
      <c r="F13" s="384">
        <f>E43</f>
        <v>435.47300000000001</v>
      </c>
      <c r="G13" s="384">
        <f>E73</f>
        <v>397.30999999999995</v>
      </c>
      <c r="H13" s="384">
        <f>E88</f>
        <v>105.8</v>
      </c>
      <c r="I13" s="384">
        <f>E93</f>
        <v>188.76</v>
      </c>
      <c r="J13" s="384">
        <f>E98</f>
        <v>260</v>
      </c>
      <c r="K13" s="384">
        <f>E101</f>
        <v>577.4</v>
      </c>
      <c r="L13" s="384">
        <f>E109</f>
        <v>254.02999999999997</v>
      </c>
      <c r="M13" s="385">
        <f>SUM(C13:L13)</f>
        <v>3185.9130000000005</v>
      </c>
      <c r="N13" s="386">
        <f>SUM(E19:E114)-E19-E26-E33-E43-E73-E88-E93-E98-E101-E109</f>
        <v>3185.9129999999996</v>
      </c>
    </row>
    <row r="14" spans="2:14">
      <c r="B14" s="316" t="s">
        <v>142</v>
      </c>
      <c r="C14" s="387">
        <f>K19</f>
        <v>28.46</v>
      </c>
      <c r="D14" s="387">
        <f>K24</f>
        <v>0</v>
      </c>
      <c r="E14" s="387">
        <f>K26</f>
        <v>0.08</v>
      </c>
      <c r="F14" s="387">
        <f>K30</f>
        <v>89.52</v>
      </c>
      <c r="G14" s="387">
        <f>K36</f>
        <v>181.83999999999997</v>
      </c>
      <c r="H14" s="387">
        <f>K45</f>
        <v>123.02000000000001</v>
      </c>
      <c r="I14" s="387">
        <f>K51</f>
        <v>1067.1000000000006</v>
      </c>
      <c r="J14" s="387">
        <f>K65</f>
        <v>1.67</v>
      </c>
      <c r="K14" s="387">
        <f>K69</f>
        <v>178.71699999999998</v>
      </c>
      <c r="L14" s="387">
        <f>K76</f>
        <v>42.74</v>
      </c>
      <c r="M14" s="388">
        <f>SUM(C14:L14)</f>
        <v>1713.1470000000006</v>
      </c>
      <c r="N14" s="386">
        <f>SUM(K19:K114)-K19-K24-K26-K30-K36-K45-K51-K65-K69-K76</f>
        <v>1713.1469999999993</v>
      </c>
    </row>
    <row r="17" spans="2:13">
      <c r="B17" s="306" t="s">
        <v>143</v>
      </c>
      <c r="C17" s="319"/>
      <c r="D17" s="319"/>
      <c r="E17" s="319"/>
      <c r="F17" s="319"/>
      <c r="G17" s="319"/>
      <c r="H17" s="320" t="s">
        <v>144</v>
      </c>
      <c r="I17" s="319"/>
      <c r="J17" s="319"/>
      <c r="K17" s="319"/>
      <c r="L17" s="319"/>
      <c r="M17" s="319"/>
    </row>
    <row r="18" spans="2:13" ht="26.4">
      <c r="B18" s="321" t="s">
        <v>145</v>
      </c>
      <c r="C18" s="322"/>
      <c r="D18" s="323" t="s">
        <v>146</v>
      </c>
      <c r="E18" s="324" t="s">
        <v>141</v>
      </c>
      <c r="F18" s="324" t="s">
        <v>147</v>
      </c>
      <c r="H18" s="325" t="s">
        <v>145</v>
      </c>
      <c r="I18" s="326"/>
      <c r="J18" s="327" t="s">
        <v>146</v>
      </c>
      <c r="K18" s="328" t="s">
        <v>142</v>
      </c>
    </row>
    <row r="19" spans="2:13" ht="13.8">
      <c r="B19" s="329">
        <v>1</v>
      </c>
      <c r="C19" s="330"/>
      <c r="D19" s="331"/>
      <c r="E19" s="332">
        <f>SUM(E20:E25)</f>
        <v>260.2</v>
      </c>
      <c r="F19" s="333"/>
      <c r="H19" s="329">
        <v>1</v>
      </c>
      <c r="I19" s="330"/>
      <c r="J19" s="331"/>
      <c r="K19" s="332">
        <f>SUM(K20:K23)</f>
        <v>28.46</v>
      </c>
    </row>
    <row r="20" spans="2:13" ht="13.8">
      <c r="B20" s="334" t="s">
        <v>83</v>
      </c>
      <c r="D20" s="335">
        <v>6014</v>
      </c>
      <c r="E20" s="336">
        <v>88.2</v>
      </c>
      <c r="F20" s="337">
        <v>0</v>
      </c>
      <c r="H20" s="338" t="s">
        <v>91</v>
      </c>
      <c r="J20" s="335"/>
      <c r="K20" s="336"/>
    </row>
    <row r="21" spans="2:13">
      <c r="B21" s="334" t="s">
        <v>31</v>
      </c>
      <c r="D21" s="335">
        <v>6014</v>
      </c>
      <c r="E21" s="336">
        <v>56</v>
      </c>
      <c r="F21" s="337">
        <v>0</v>
      </c>
      <c r="H21" s="334" t="s">
        <v>148</v>
      </c>
      <c r="J21" s="335">
        <v>6014</v>
      </c>
      <c r="K21" s="336">
        <v>27.6</v>
      </c>
    </row>
    <row r="22" spans="2:13">
      <c r="B22" s="334" t="s">
        <v>149</v>
      </c>
      <c r="D22" s="335">
        <v>6014</v>
      </c>
      <c r="E22" s="336">
        <v>10</v>
      </c>
      <c r="F22" s="337">
        <v>0</v>
      </c>
      <c r="H22" s="334" t="s">
        <v>150</v>
      </c>
      <c r="J22" s="335">
        <v>6014</v>
      </c>
      <c r="K22" s="336">
        <v>0.86</v>
      </c>
    </row>
    <row r="23" spans="2:13">
      <c r="B23" s="334" t="s">
        <v>203</v>
      </c>
      <c r="D23" s="335">
        <v>6014</v>
      </c>
      <c r="E23" s="336">
        <v>56</v>
      </c>
      <c r="F23" s="337">
        <v>0</v>
      </c>
      <c r="H23" s="341" t="s">
        <v>151</v>
      </c>
      <c r="I23" s="342"/>
      <c r="J23" s="343"/>
      <c r="K23" s="344"/>
    </row>
    <row r="24" spans="2:13" ht="13.8">
      <c r="B24" s="334" t="s">
        <v>221</v>
      </c>
      <c r="D24" s="335">
        <v>6014</v>
      </c>
      <c r="E24" s="336">
        <v>50</v>
      </c>
      <c r="F24" s="337">
        <v>7</v>
      </c>
      <c r="H24" s="345">
        <v>2</v>
      </c>
      <c r="I24" s="346"/>
      <c r="J24" s="347"/>
      <c r="K24" s="348">
        <f>SUM(K25)</f>
        <v>0</v>
      </c>
    </row>
    <row r="25" spans="2:13">
      <c r="B25" s="340" t="s">
        <v>151</v>
      </c>
      <c r="D25" s="335"/>
      <c r="E25" s="336"/>
      <c r="F25" s="337"/>
      <c r="H25" s="341" t="s">
        <v>151</v>
      </c>
      <c r="I25" s="342"/>
      <c r="J25" s="343"/>
      <c r="K25" s="344"/>
    </row>
    <row r="26" spans="2:13" ht="13.8">
      <c r="B26" s="345">
        <v>2</v>
      </c>
      <c r="C26" s="346"/>
      <c r="D26" s="347"/>
      <c r="E26" s="348">
        <f>SUM(E27:E32)</f>
        <v>537.77</v>
      </c>
      <c r="F26" s="349"/>
      <c r="H26" s="329">
        <v>3</v>
      </c>
      <c r="I26" s="330"/>
      <c r="J26" s="331"/>
      <c r="K26" s="332">
        <f>SUM(K27:K29)</f>
        <v>0.08</v>
      </c>
    </row>
    <row r="27" spans="2:13" ht="13.8">
      <c r="B27" s="334" t="s">
        <v>32</v>
      </c>
      <c r="D27" s="335">
        <v>6096</v>
      </c>
      <c r="E27" s="336">
        <v>300</v>
      </c>
      <c r="F27" s="337">
        <v>0</v>
      </c>
      <c r="H27" s="338" t="s">
        <v>91</v>
      </c>
      <c r="J27" s="335"/>
      <c r="K27" s="336"/>
    </row>
    <row r="28" spans="2:13">
      <c r="B28" s="334" t="s">
        <v>33</v>
      </c>
      <c r="D28" s="335">
        <v>6179</v>
      </c>
      <c r="E28" s="336">
        <v>120</v>
      </c>
      <c r="F28" s="337">
        <v>0</v>
      </c>
      <c r="H28" s="334" t="s">
        <v>92</v>
      </c>
      <c r="J28" s="335">
        <v>6087</v>
      </c>
      <c r="K28" s="336">
        <v>0.08</v>
      </c>
    </row>
    <row r="29" spans="2:13">
      <c r="B29" s="334" t="s">
        <v>76</v>
      </c>
      <c r="D29" s="335">
        <v>6179</v>
      </c>
      <c r="E29" s="336">
        <v>25.34</v>
      </c>
      <c r="F29" s="337">
        <v>0</v>
      </c>
      <c r="H29" s="350" t="s">
        <v>151</v>
      </c>
      <c r="J29" s="335"/>
      <c r="K29" s="336"/>
    </row>
    <row r="30" spans="2:13" ht="13.8">
      <c r="B30" s="334" t="s">
        <v>77</v>
      </c>
      <c r="D30" s="335">
        <v>6179</v>
      </c>
      <c r="E30" s="336">
        <v>33.770000000000003</v>
      </c>
      <c r="F30" s="337">
        <v>0</v>
      </c>
      <c r="H30" s="345">
        <v>4</v>
      </c>
      <c r="I30" s="346"/>
      <c r="J30" s="347"/>
      <c r="K30" s="348">
        <f>SUM(K31:K35)</f>
        <v>89.52</v>
      </c>
    </row>
    <row r="31" spans="2:13" ht="13.8">
      <c r="B31" s="334" t="s">
        <v>78</v>
      </c>
      <c r="D31" s="335">
        <v>6179</v>
      </c>
      <c r="E31" s="336">
        <v>58.66</v>
      </c>
      <c r="F31" s="337">
        <v>0</v>
      </c>
      <c r="H31" s="338" t="s">
        <v>91</v>
      </c>
      <c r="J31" s="335"/>
      <c r="K31" s="336"/>
    </row>
    <row r="32" spans="2:13">
      <c r="B32" s="351" t="s">
        <v>151</v>
      </c>
      <c r="C32" s="342"/>
      <c r="D32" s="343"/>
      <c r="E32" s="344"/>
      <c r="F32" s="353"/>
      <c r="H32" s="334" t="s">
        <v>153</v>
      </c>
      <c r="J32" s="335">
        <v>6013</v>
      </c>
      <c r="K32" s="336">
        <v>10.27</v>
      </c>
    </row>
    <row r="33" spans="2:11" ht="13.8">
      <c r="B33" s="329">
        <v>3</v>
      </c>
      <c r="C33" s="330"/>
      <c r="D33" s="331"/>
      <c r="E33" s="332">
        <f>SUM(E34:E42)</f>
        <v>169.17</v>
      </c>
      <c r="F33" s="333"/>
      <c r="H33" s="334" t="s">
        <v>154</v>
      </c>
      <c r="J33" s="335">
        <v>6013</v>
      </c>
      <c r="K33" s="336">
        <v>57.87</v>
      </c>
    </row>
    <row r="34" spans="2:11">
      <c r="B34" s="334" t="s">
        <v>152</v>
      </c>
      <c r="D34" s="335">
        <v>6088</v>
      </c>
      <c r="E34" s="336">
        <v>47.2</v>
      </c>
      <c r="F34" s="337">
        <v>0</v>
      </c>
      <c r="H34" s="334" t="s">
        <v>204</v>
      </c>
      <c r="J34" s="335">
        <v>6012</v>
      </c>
      <c r="K34" s="336">
        <v>21.38</v>
      </c>
    </row>
    <row r="35" spans="2:11">
      <c r="B35" s="334" t="s">
        <v>34</v>
      </c>
      <c r="D35" s="335">
        <v>6092</v>
      </c>
      <c r="E35" s="336">
        <v>54.76</v>
      </c>
      <c r="F35" s="337">
        <v>0</v>
      </c>
      <c r="H35" s="341" t="s">
        <v>151</v>
      </c>
      <c r="I35" s="342"/>
      <c r="J35" s="343"/>
      <c r="K35" s="344"/>
    </row>
    <row r="36" spans="2:11" ht="13.8">
      <c r="B36" s="334" t="s">
        <v>80</v>
      </c>
      <c r="D36" s="335">
        <v>6300</v>
      </c>
      <c r="E36" s="336">
        <v>19.75</v>
      </c>
      <c r="F36" s="337">
        <v>0</v>
      </c>
      <c r="H36" s="329">
        <v>5</v>
      </c>
      <c r="I36" s="330"/>
      <c r="J36" s="331"/>
      <c r="K36" s="332">
        <f>SUM(K37:K44)</f>
        <v>181.83999999999997</v>
      </c>
    </row>
    <row r="37" spans="2:11" ht="13.8">
      <c r="B37" s="334" t="s">
        <v>79</v>
      </c>
      <c r="D37" s="335">
        <v>6300</v>
      </c>
      <c r="E37" s="336">
        <v>15.5</v>
      </c>
      <c r="F37" s="337">
        <v>0</v>
      </c>
      <c r="H37" s="338" t="s">
        <v>156</v>
      </c>
      <c r="J37" s="335"/>
      <c r="K37" s="336"/>
    </row>
    <row r="38" spans="2:11">
      <c r="B38" s="334" t="s">
        <v>155</v>
      </c>
      <c r="D38" s="335">
        <v>6300</v>
      </c>
      <c r="E38" s="336">
        <v>8</v>
      </c>
      <c r="F38" s="337">
        <v>0</v>
      </c>
      <c r="H38" s="334" t="s">
        <v>158</v>
      </c>
      <c r="J38" s="335" t="s">
        <v>205</v>
      </c>
      <c r="K38" s="336">
        <v>179.89</v>
      </c>
    </row>
    <row r="39" spans="2:11" ht="13.8">
      <c r="B39" s="334" t="s">
        <v>157</v>
      </c>
      <c r="D39" s="335">
        <v>6300</v>
      </c>
      <c r="E39" s="336">
        <v>9.86</v>
      </c>
      <c r="F39" s="337">
        <v>0</v>
      </c>
      <c r="H39" s="338" t="s">
        <v>159</v>
      </c>
      <c r="J39" s="335"/>
      <c r="K39" s="336"/>
    </row>
    <row r="40" spans="2:11">
      <c r="B40" s="334" t="s">
        <v>206</v>
      </c>
      <c r="D40" s="335">
        <v>6300</v>
      </c>
      <c r="E40" s="336">
        <v>10</v>
      </c>
      <c r="F40" s="337">
        <v>0</v>
      </c>
      <c r="H40" s="334" t="s">
        <v>160</v>
      </c>
      <c r="J40" s="335">
        <v>6009</v>
      </c>
      <c r="K40" s="336">
        <v>1.1299999999999999</v>
      </c>
    </row>
    <row r="41" spans="2:11">
      <c r="B41" s="334" t="s">
        <v>207</v>
      </c>
      <c r="D41" s="335">
        <v>6300</v>
      </c>
      <c r="E41" s="336">
        <v>4.0999999999999996</v>
      </c>
      <c r="F41" s="337">
        <v>0</v>
      </c>
      <c r="H41" s="334" t="s">
        <v>161</v>
      </c>
      <c r="J41" s="335">
        <v>6009</v>
      </c>
      <c r="K41" s="336">
        <v>0.82</v>
      </c>
    </row>
    <row r="42" spans="2:11" ht="13.8">
      <c r="B42" s="340" t="s">
        <v>151</v>
      </c>
      <c r="D42" s="335"/>
      <c r="E42" s="336"/>
      <c r="F42" s="337"/>
      <c r="H42" s="338" t="s">
        <v>208</v>
      </c>
      <c r="J42" s="335"/>
      <c r="K42" s="336"/>
    </row>
    <row r="43" spans="2:11" ht="13.8">
      <c r="B43" s="345">
        <v>4</v>
      </c>
      <c r="C43" s="346"/>
      <c r="D43" s="347"/>
      <c r="E43" s="348">
        <f>SUM(E44:E72)</f>
        <v>435.47300000000001</v>
      </c>
      <c r="F43" s="349"/>
      <c r="H43" s="334" t="s">
        <v>209</v>
      </c>
      <c r="J43" s="335">
        <v>6008</v>
      </c>
      <c r="K43" s="336">
        <v>0</v>
      </c>
    </row>
    <row r="44" spans="2:11">
      <c r="B44" s="334" t="s">
        <v>82</v>
      </c>
      <c r="D44" s="335">
        <v>6381</v>
      </c>
      <c r="E44" s="336">
        <v>10</v>
      </c>
      <c r="F44" s="337">
        <v>0</v>
      </c>
      <c r="H44" s="350" t="s">
        <v>151</v>
      </c>
      <c r="J44" s="335"/>
      <c r="K44" s="336"/>
    </row>
    <row r="45" spans="2:11" ht="13.8">
      <c r="B45" s="334" t="s">
        <v>162</v>
      </c>
      <c r="D45" s="335">
        <v>6381</v>
      </c>
      <c r="E45" s="336">
        <v>3.5</v>
      </c>
      <c r="F45" s="337">
        <v>0</v>
      </c>
      <c r="H45" s="345">
        <v>6</v>
      </c>
      <c r="I45" s="346"/>
      <c r="J45" s="347"/>
      <c r="K45" s="348">
        <f>SUM(K46:K50)</f>
        <v>123.02000000000001</v>
      </c>
    </row>
    <row r="46" spans="2:11" ht="13.8">
      <c r="B46" s="334" t="s">
        <v>88</v>
      </c>
      <c r="D46" s="335">
        <v>6013</v>
      </c>
      <c r="E46" s="336">
        <v>6.12</v>
      </c>
      <c r="F46" s="337">
        <v>0</v>
      </c>
      <c r="H46" s="338" t="s">
        <v>156</v>
      </c>
      <c r="J46" s="335"/>
      <c r="K46" s="336"/>
    </row>
    <row r="47" spans="2:11">
      <c r="B47" s="334" t="s">
        <v>163</v>
      </c>
      <c r="D47" s="335">
        <v>6013</v>
      </c>
      <c r="E47" s="336">
        <v>4.95</v>
      </c>
      <c r="F47" s="337">
        <v>0</v>
      </c>
      <c r="H47" s="334" t="s">
        <v>164</v>
      </c>
      <c r="J47" s="335">
        <v>6005</v>
      </c>
      <c r="K47" s="336">
        <v>121.79</v>
      </c>
    </row>
    <row r="48" spans="2:11" ht="13.8">
      <c r="B48" s="334" t="s">
        <v>81</v>
      </c>
      <c r="D48" s="335">
        <v>6381</v>
      </c>
      <c r="E48" s="336">
        <v>20</v>
      </c>
      <c r="F48" s="337">
        <v>0</v>
      </c>
      <c r="H48" s="338" t="s">
        <v>159</v>
      </c>
      <c r="J48" s="335"/>
      <c r="K48" s="336"/>
    </row>
    <row r="49" spans="2:11">
      <c r="B49" s="334" t="s">
        <v>165</v>
      </c>
      <c r="D49" s="335">
        <v>6381</v>
      </c>
      <c r="E49" s="336">
        <v>12.89</v>
      </c>
      <c r="F49" s="337">
        <v>0</v>
      </c>
      <c r="H49" s="334" t="s">
        <v>160</v>
      </c>
      <c r="J49" s="335">
        <v>6005</v>
      </c>
      <c r="K49" s="336">
        <v>1.23</v>
      </c>
    </row>
    <row r="50" spans="2:11">
      <c r="B50" s="334" t="s">
        <v>166</v>
      </c>
      <c r="D50" s="335">
        <v>6386</v>
      </c>
      <c r="E50" s="336">
        <v>14</v>
      </c>
      <c r="F50" s="337">
        <v>0</v>
      </c>
      <c r="H50" s="341" t="s">
        <v>151</v>
      </c>
      <c r="I50" s="342"/>
      <c r="J50" s="343"/>
      <c r="K50" s="344"/>
    </row>
    <row r="51" spans="2:11" ht="13.8">
      <c r="B51" s="334" t="s">
        <v>0</v>
      </c>
      <c r="D51" s="354" t="s">
        <v>167</v>
      </c>
      <c r="E51" s="336">
        <v>2.5</v>
      </c>
      <c r="F51" s="337">
        <v>0</v>
      </c>
      <c r="H51" s="329">
        <v>7</v>
      </c>
      <c r="I51" s="330"/>
      <c r="J51" s="331"/>
      <c r="K51" s="332">
        <f>SUM(K52:K64)</f>
        <v>1067.1000000000006</v>
      </c>
    </row>
    <row r="52" spans="2:11" ht="13.8">
      <c r="B52" s="334" t="s">
        <v>1</v>
      </c>
      <c r="D52" s="354" t="s">
        <v>167</v>
      </c>
      <c r="E52" s="336">
        <v>3.12</v>
      </c>
      <c r="F52" s="337">
        <v>0</v>
      </c>
      <c r="H52" s="338" t="s">
        <v>169</v>
      </c>
      <c r="J52" s="335"/>
      <c r="K52" s="336"/>
    </row>
    <row r="53" spans="2:11">
      <c r="B53" s="334" t="s">
        <v>168</v>
      </c>
      <c r="D53" s="335">
        <v>6381</v>
      </c>
      <c r="E53" s="336">
        <v>10</v>
      </c>
      <c r="F53" s="337">
        <v>0</v>
      </c>
      <c r="H53" s="334" t="s">
        <v>171</v>
      </c>
      <c r="J53" s="335" t="s">
        <v>172</v>
      </c>
      <c r="K53" s="336">
        <v>536.92999999999995</v>
      </c>
    </row>
    <row r="54" spans="2:11" ht="13.8">
      <c r="B54" s="334" t="s">
        <v>170</v>
      </c>
      <c r="D54" s="335">
        <v>6381</v>
      </c>
      <c r="E54" s="336">
        <v>10</v>
      </c>
      <c r="F54" s="337">
        <v>0</v>
      </c>
      <c r="H54" s="338" t="s">
        <v>156</v>
      </c>
      <c r="J54" s="335"/>
      <c r="K54" s="336"/>
    </row>
    <row r="55" spans="2:11">
      <c r="B55" s="334" t="s">
        <v>173</v>
      </c>
      <c r="D55" s="335">
        <v>6013</v>
      </c>
      <c r="E55" s="336">
        <v>8.4</v>
      </c>
      <c r="F55" s="337">
        <v>0</v>
      </c>
      <c r="H55" s="334" t="s">
        <v>171</v>
      </c>
      <c r="J55" s="335" t="s">
        <v>210</v>
      </c>
      <c r="K55" s="336">
        <v>491.74</v>
      </c>
    </row>
    <row r="56" spans="2:11" ht="13.8">
      <c r="B56" s="334" t="s">
        <v>84</v>
      </c>
      <c r="D56" s="335">
        <v>6690</v>
      </c>
      <c r="E56" s="336">
        <v>33.299999999999997</v>
      </c>
      <c r="F56" s="337">
        <v>0</v>
      </c>
      <c r="H56" s="338" t="s">
        <v>159</v>
      </c>
      <c r="J56" s="335"/>
      <c r="K56" s="336"/>
    </row>
    <row r="57" spans="2:11">
      <c r="B57" s="334" t="s">
        <v>85</v>
      </c>
      <c r="D57" s="335">
        <v>6690</v>
      </c>
      <c r="E57" s="336">
        <v>49.95</v>
      </c>
      <c r="F57" s="337">
        <v>0</v>
      </c>
      <c r="H57" s="334" t="s">
        <v>174</v>
      </c>
      <c r="J57" s="335">
        <v>6002</v>
      </c>
      <c r="K57" s="336">
        <v>2.89</v>
      </c>
    </row>
    <row r="58" spans="2:11">
      <c r="B58" s="334" t="s">
        <v>86</v>
      </c>
      <c r="D58" s="335">
        <v>6690</v>
      </c>
      <c r="E58" s="336">
        <v>69.48</v>
      </c>
      <c r="F58" s="337">
        <v>0</v>
      </c>
      <c r="H58" s="334" t="s">
        <v>175</v>
      </c>
      <c r="J58" s="335">
        <v>6024</v>
      </c>
      <c r="K58" s="336">
        <v>24.65</v>
      </c>
    </row>
    <row r="59" spans="2:11">
      <c r="B59" s="334" t="s">
        <v>211</v>
      </c>
      <c r="D59" s="335">
        <v>6386</v>
      </c>
      <c r="E59" s="336">
        <v>4.0999999999999996</v>
      </c>
      <c r="F59" s="337">
        <v>0</v>
      </c>
      <c r="H59" s="334" t="s">
        <v>93</v>
      </c>
      <c r="J59" s="335">
        <v>6002</v>
      </c>
      <c r="K59" s="336">
        <v>0.64</v>
      </c>
    </row>
    <row r="60" spans="2:11">
      <c r="B60" s="334" t="s">
        <v>87</v>
      </c>
      <c r="D60" s="335">
        <v>6860</v>
      </c>
      <c r="E60" s="336">
        <v>28.56</v>
      </c>
      <c r="F60" s="337">
        <v>0</v>
      </c>
      <c r="H60" s="334" t="s">
        <v>178</v>
      </c>
      <c r="J60" s="335">
        <v>6002</v>
      </c>
      <c r="K60" s="336">
        <v>0.93</v>
      </c>
    </row>
    <row r="61" spans="2:11">
      <c r="B61" s="334" t="s">
        <v>212</v>
      </c>
      <c r="D61" s="335">
        <v>6013</v>
      </c>
      <c r="E61" s="336">
        <v>8.58</v>
      </c>
      <c r="F61" s="337">
        <v>0</v>
      </c>
      <c r="H61" s="334" t="s">
        <v>179</v>
      </c>
      <c r="J61" s="335">
        <v>6018</v>
      </c>
      <c r="K61" s="336">
        <v>1.22</v>
      </c>
    </row>
    <row r="62" spans="2:11">
      <c r="B62" s="334" t="s">
        <v>213</v>
      </c>
      <c r="D62" s="335">
        <v>6760</v>
      </c>
      <c r="E62" s="336">
        <v>26</v>
      </c>
      <c r="F62" s="337">
        <v>0</v>
      </c>
      <c r="H62" s="334" t="s">
        <v>160</v>
      </c>
      <c r="J62" s="335">
        <v>6002</v>
      </c>
      <c r="K62" s="336">
        <v>7.16</v>
      </c>
    </row>
    <row r="63" spans="2:11">
      <c r="B63" s="334" t="s">
        <v>214</v>
      </c>
      <c r="D63" s="335">
        <v>6760</v>
      </c>
      <c r="E63" s="336">
        <v>6</v>
      </c>
      <c r="F63" s="337">
        <v>0</v>
      </c>
      <c r="H63" s="334" t="s">
        <v>181</v>
      </c>
      <c r="J63" s="335">
        <v>6002</v>
      </c>
      <c r="K63" s="336">
        <v>0.94</v>
      </c>
    </row>
    <row r="64" spans="2:11">
      <c r="B64" s="334" t="s">
        <v>215</v>
      </c>
      <c r="D64" s="335">
        <v>6760</v>
      </c>
      <c r="E64" s="336">
        <v>12.3</v>
      </c>
      <c r="F64" s="337">
        <v>0</v>
      </c>
      <c r="H64" s="341" t="s">
        <v>151</v>
      </c>
      <c r="I64" s="342"/>
      <c r="J64" s="343"/>
      <c r="K64" s="344"/>
    </row>
    <row r="65" spans="2:11" ht="13.8">
      <c r="B65" s="334" t="s">
        <v>216</v>
      </c>
      <c r="D65" s="335">
        <v>6386</v>
      </c>
      <c r="E65" s="336">
        <v>4.6429999999999998</v>
      </c>
      <c r="F65" s="337">
        <v>0</v>
      </c>
      <c r="H65" s="345">
        <v>8</v>
      </c>
      <c r="I65" s="346"/>
      <c r="J65" s="347"/>
      <c r="K65" s="348">
        <f>SUM(K66:K68)</f>
        <v>1.67</v>
      </c>
    </row>
    <row r="66" spans="2:11" ht="13.8">
      <c r="B66" s="334" t="s">
        <v>222</v>
      </c>
      <c r="D66" s="335">
        <v>6386</v>
      </c>
      <c r="E66" s="336">
        <v>5</v>
      </c>
      <c r="F66" s="337">
        <v>6</v>
      </c>
      <c r="H66" s="338" t="s">
        <v>169</v>
      </c>
      <c r="J66" s="335"/>
      <c r="K66" s="336"/>
    </row>
    <row r="67" spans="2:11">
      <c r="B67" s="334" t="s">
        <v>223</v>
      </c>
      <c r="D67" s="335">
        <v>6760</v>
      </c>
      <c r="E67" s="336">
        <v>14.4</v>
      </c>
      <c r="F67" s="337">
        <v>7</v>
      </c>
      <c r="H67" s="334" t="s">
        <v>186</v>
      </c>
      <c r="J67" s="335">
        <v>6100</v>
      </c>
      <c r="K67" s="336">
        <v>1.67</v>
      </c>
    </row>
    <row r="68" spans="2:11">
      <c r="B68" s="334" t="s">
        <v>224</v>
      </c>
      <c r="D68" s="335">
        <v>6760</v>
      </c>
      <c r="E68" s="336">
        <v>15.08</v>
      </c>
      <c r="F68" s="337">
        <v>7</v>
      </c>
      <c r="H68" s="341" t="s">
        <v>151</v>
      </c>
      <c r="I68" s="342"/>
      <c r="J68" s="343"/>
      <c r="K68" s="344"/>
    </row>
    <row r="69" spans="2:11" ht="13.8">
      <c r="B69" s="334" t="s">
        <v>225</v>
      </c>
      <c r="D69" s="335">
        <v>6760</v>
      </c>
      <c r="E69" s="336">
        <v>9.3000000000000007</v>
      </c>
      <c r="F69" s="337">
        <v>7</v>
      </c>
      <c r="H69" s="329">
        <v>9</v>
      </c>
      <c r="I69" s="330"/>
      <c r="J69" s="331"/>
      <c r="K69" s="332">
        <f>SUM(K70:K75)</f>
        <v>178.71699999999998</v>
      </c>
    </row>
    <row r="70" spans="2:11" ht="13.8">
      <c r="B70" s="334" t="s">
        <v>226</v>
      </c>
      <c r="D70" s="335">
        <v>6386</v>
      </c>
      <c r="E70" s="336">
        <v>8.8000000000000007</v>
      </c>
      <c r="F70" s="337">
        <v>7</v>
      </c>
      <c r="H70" s="338" t="s">
        <v>169</v>
      </c>
      <c r="J70" s="335"/>
      <c r="K70" s="336"/>
    </row>
    <row r="71" spans="2:11">
      <c r="B71" s="334" t="s">
        <v>227</v>
      </c>
      <c r="D71" s="335">
        <v>6182</v>
      </c>
      <c r="E71" s="336">
        <v>34.5</v>
      </c>
      <c r="F71" s="337">
        <v>7</v>
      </c>
      <c r="H71" s="334" t="s">
        <v>30</v>
      </c>
      <c r="J71" s="335">
        <v>6059</v>
      </c>
      <c r="K71" s="336">
        <v>169.23</v>
      </c>
    </row>
    <row r="72" spans="2:11" ht="13.8">
      <c r="B72" s="351" t="s">
        <v>151</v>
      </c>
      <c r="C72" s="342"/>
      <c r="D72" s="343"/>
      <c r="E72" s="344"/>
      <c r="F72" s="353"/>
      <c r="H72" s="338" t="s">
        <v>159</v>
      </c>
      <c r="J72" s="335"/>
      <c r="K72" s="336"/>
    </row>
    <row r="73" spans="2:11" ht="13.8">
      <c r="B73" s="329">
        <v>5</v>
      </c>
      <c r="C73" s="330"/>
      <c r="D73" s="331"/>
      <c r="E73" s="332">
        <f>SUM(E74:E87)</f>
        <v>397.30999999999995</v>
      </c>
      <c r="F73" s="333"/>
      <c r="H73" s="334" t="s">
        <v>189</v>
      </c>
      <c r="J73" s="335">
        <v>6170</v>
      </c>
      <c r="K73" s="336">
        <v>8.5</v>
      </c>
    </row>
    <row r="74" spans="2:11">
      <c r="B74" s="334" t="s">
        <v>176</v>
      </c>
      <c r="D74" s="335">
        <v>6010</v>
      </c>
      <c r="E74" s="336">
        <v>5.35</v>
      </c>
      <c r="F74" s="337">
        <v>0</v>
      </c>
      <c r="H74" s="334" t="s">
        <v>160</v>
      </c>
      <c r="J74" s="335">
        <v>6059</v>
      </c>
      <c r="K74" s="336">
        <v>0.98699999999999999</v>
      </c>
    </row>
    <row r="75" spans="2:11">
      <c r="B75" s="334" t="s">
        <v>177</v>
      </c>
      <c r="D75" s="335">
        <v>6010</v>
      </c>
      <c r="E75" s="336">
        <v>5.05</v>
      </c>
      <c r="F75" s="337">
        <v>0</v>
      </c>
      <c r="H75" s="341" t="s">
        <v>151</v>
      </c>
      <c r="I75" s="342"/>
      <c r="J75" s="343"/>
      <c r="K75" s="344"/>
    </row>
    <row r="76" spans="2:11" ht="13.8">
      <c r="B76" s="334" t="s">
        <v>5</v>
      </c>
      <c r="D76" s="354" t="s">
        <v>167</v>
      </c>
      <c r="E76" s="336">
        <v>6.6</v>
      </c>
      <c r="F76" s="337">
        <v>0</v>
      </c>
      <c r="H76" s="345">
        <v>10</v>
      </c>
      <c r="I76" s="346"/>
      <c r="J76" s="347"/>
      <c r="K76" s="348">
        <f>SUM(K77:K80)</f>
        <v>42.74</v>
      </c>
    </row>
    <row r="77" spans="2:11" ht="13.8">
      <c r="B77" s="334" t="s">
        <v>35</v>
      </c>
      <c r="D77" s="354" t="s">
        <v>167</v>
      </c>
      <c r="E77" s="336">
        <v>4.5</v>
      </c>
      <c r="F77" s="337">
        <v>0</v>
      </c>
      <c r="H77" s="338" t="s">
        <v>191</v>
      </c>
      <c r="J77" s="335"/>
      <c r="K77" s="336"/>
    </row>
    <row r="78" spans="2:11">
      <c r="B78" s="334" t="s">
        <v>180</v>
      </c>
      <c r="D78" s="354" t="s">
        <v>167</v>
      </c>
      <c r="E78" s="336">
        <v>2.4</v>
      </c>
      <c r="F78" s="337">
        <v>0</v>
      </c>
      <c r="H78" s="334" t="s">
        <v>194</v>
      </c>
      <c r="J78" s="335">
        <v>6340</v>
      </c>
      <c r="K78" s="336">
        <v>29.18</v>
      </c>
    </row>
    <row r="79" spans="2:11">
      <c r="B79" s="334" t="s">
        <v>182</v>
      </c>
      <c r="D79" s="335">
        <v>6430</v>
      </c>
      <c r="E79" s="336">
        <v>100</v>
      </c>
      <c r="F79" s="337">
        <v>0</v>
      </c>
      <c r="H79" s="334" t="s">
        <v>196</v>
      </c>
      <c r="J79" s="335">
        <v>6261</v>
      </c>
      <c r="K79" s="336">
        <v>13.56</v>
      </c>
    </row>
    <row r="80" spans="2:11">
      <c r="B80" s="334" t="s">
        <v>183</v>
      </c>
      <c r="D80" s="335">
        <v>6430</v>
      </c>
      <c r="E80" s="336">
        <v>17.5</v>
      </c>
      <c r="F80" s="337">
        <v>0</v>
      </c>
      <c r="H80" s="341" t="s">
        <v>151</v>
      </c>
      <c r="I80" s="342"/>
      <c r="J80" s="343"/>
      <c r="K80" s="344"/>
    </row>
    <row r="81" spans="2:6">
      <c r="B81" s="334" t="s">
        <v>184</v>
      </c>
      <c r="D81" s="335">
        <v>6430</v>
      </c>
      <c r="E81" s="336">
        <v>62.5</v>
      </c>
      <c r="F81" s="337">
        <v>0</v>
      </c>
    </row>
    <row r="82" spans="2:6">
      <c r="B82" s="334" t="s">
        <v>185</v>
      </c>
      <c r="D82" s="335">
        <v>6430</v>
      </c>
      <c r="E82" s="336">
        <v>40</v>
      </c>
      <c r="F82" s="337">
        <v>0</v>
      </c>
    </row>
    <row r="83" spans="2:6">
      <c r="B83" s="334" t="s">
        <v>217</v>
      </c>
      <c r="D83" s="335">
        <v>6008</v>
      </c>
      <c r="E83" s="336">
        <v>25.8</v>
      </c>
      <c r="F83" s="337">
        <v>0</v>
      </c>
    </row>
    <row r="84" spans="2:6">
      <c r="B84" s="334" t="s">
        <v>218</v>
      </c>
      <c r="D84" s="335">
        <v>6010</v>
      </c>
      <c r="E84" s="336">
        <v>9</v>
      </c>
      <c r="F84" s="337">
        <v>0</v>
      </c>
    </row>
    <row r="85" spans="2:6">
      <c r="B85" s="334" t="s">
        <v>228</v>
      </c>
      <c r="D85" s="335">
        <v>6010</v>
      </c>
      <c r="E85" s="336">
        <v>2.02</v>
      </c>
      <c r="F85" s="337">
        <v>7</v>
      </c>
    </row>
    <row r="86" spans="2:6">
      <c r="B86" s="334" t="s">
        <v>229</v>
      </c>
      <c r="D86" s="335">
        <v>6008</v>
      </c>
      <c r="E86" s="336">
        <v>116.59</v>
      </c>
      <c r="F86" s="337">
        <v>7</v>
      </c>
    </row>
    <row r="87" spans="2:6">
      <c r="B87" s="334" t="s">
        <v>151</v>
      </c>
      <c r="D87" s="335"/>
      <c r="E87" s="336"/>
      <c r="F87" s="337"/>
    </row>
    <row r="88" spans="2:6" ht="13.8">
      <c r="B88" s="345">
        <v>6</v>
      </c>
      <c r="C88" s="346"/>
      <c r="D88" s="347"/>
      <c r="E88" s="348">
        <f>SUM(E89:E92)</f>
        <v>105.8</v>
      </c>
      <c r="F88" s="349"/>
    </row>
    <row r="89" spans="2:6">
      <c r="B89" s="334" t="s">
        <v>187</v>
      </c>
      <c r="D89" s="335">
        <v>6005</v>
      </c>
      <c r="E89" s="336">
        <v>96</v>
      </c>
      <c r="F89" s="337">
        <v>0</v>
      </c>
    </row>
    <row r="90" spans="2:6">
      <c r="B90" s="334" t="s">
        <v>36</v>
      </c>
      <c r="D90" s="354" t="s">
        <v>167</v>
      </c>
      <c r="E90" s="336">
        <v>5.5</v>
      </c>
      <c r="F90" s="337">
        <v>0</v>
      </c>
    </row>
    <row r="91" spans="2:6">
      <c r="B91" s="334" t="s">
        <v>89</v>
      </c>
      <c r="D91" s="354" t="s">
        <v>167</v>
      </c>
      <c r="E91" s="336">
        <v>4.3</v>
      </c>
      <c r="F91" s="337">
        <v>0</v>
      </c>
    </row>
    <row r="92" spans="2:6">
      <c r="B92" s="355" t="s">
        <v>151</v>
      </c>
      <c r="C92" s="342"/>
      <c r="D92" s="343"/>
      <c r="E92" s="344"/>
      <c r="F92" s="353"/>
    </row>
    <row r="93" spans="2:6" ht="13.8">
      <c r="B93" s="329">
        <v>7</v>
      </c>
      <c r="C93" s="330"/>
      <c r="D93" s="331"/>
      <c r="E93" s="332">
        <f>SUM(E94:E97)</f>
        <v>188.76</v>
      </c>
      <c r="F93" s="333"/>
    </row>
    <row r="94" spans="2:6">
      <c r="B94" s="334" t="s">
        <v>37</v>
      </c>
      <c r="D94" s="335">
        <v>6171</v>
      </c>
      <c r="E94" s="336">
        <v>54</v>
      </c>
      <c r="F94" s="337">
        <v>0</v>
      </c>
    </row>
    <row r="95" spans="2:6">
      <c r="B95" s="334" t="s">
        <v>192</v>
      </c>
      <c r="D95" s="335" t="s">
        <v>219</v>
      </c>
      <c r="E95" s="336">
        <v>56</v>
      </c>
      <c r="F95" s="337">
        <v>0</v>
      </c>
    </row>
    <row r="96" spans="2:6">
      <c r="B96" s="334" t="s">
        <v>195</v>
      </c>
      <c r="D96" s="335" t="s">
        <v>219</v>
      </c>
      <c r="E96" s="336">
        <v>78.760000000000005</v>
      </c>
      <c r="F96" s="337">
        <v>0</v>
      </c>
    </row>
    <row r="97" spans="2:6">
      <c r="B97" s="356" t="s">
        <v>151</v>
      </c>
      <c r="C97" s="357"/>
      <c r="D97" s="358"/>
      <c r="E97" s="359"/>
      <c r="F97" s="360"/>
    </row>
    <row r="98" spans="2:6" ht="13.8">
      <c r="B98" s="345">
        <v>8</v>
      </c>
      <c r="C98" s="346"/>
      <c r="D98" s="347"/>
      <c r="E98" s="348">
        <f>SUM(E99:E100)</f>
        <v>260</v>
      </c>
      <c r="F98" s="349"/>
    </row>
    <row r="99" spans="2:6">
      <c r="B99" s="334" t="s">
        <v>4</v>
      </c>
      <c r="D99" s="335">
        <v>6100</v>
      </c>
      <c r="E99" s="336">
        <v>260</v>
      </c>
      <c r="F99" s="337">
        <v>0</v>
      </c>
    </row>
    <row r="100" spans="2:6">
      <c r="B100" s="361" t="s">
        <v>151</v>
      </c>
      <c r="C100" s="342"/>
      <c r="D100" s="343"/>
      <c r="E100" s="344"/>
      <c r="F100" s="353"/>
    </row>
    <row r="101" spans="2:6" ht="13.8">
      <c r="B101" s="329">
        <v>9</v>
      </c>
      <c r="C101" s="362"/>
      <c r="D101" s="363"/>
      <c r="E101" s="332">
        <f>SUM(E102:E108)</f>
        <v>577.4</v>
      </c>
      <c r="F101" s="333"/>
    </row>
    <row r="102" spans="2:6">
      <c r="B102" s="334" t="s">
        <v>197</v>
      </c>
      <c r="D102" s="335">
        <v>6059</v>
      </c>
      <c r="E102" s="336">
        <v>160</v>
      </c>
      <c r="F102" s="337">
        <v>0</v>
      </c>
    </row>
    <row r="103" spans="2:6">
      <c r="B103" s="334" t="s">
        <v>198</v>
      </c>
      <c r="D103" s="335">
        <v>6060</v>
      </c>
      <c r="E103" s="336">
        <v>120</v>
      </c>
      <c r="F103" s="337">
        <v>0</v>
      </c>
    </row>
    <row r="104" spans="2:6">
      <c r="B104" s="334" t="s">
        <v>199</v>
      </c>
      <c r="D104" s="335">
        <v>6270</v>
      </c>
      <c r="E104" s="336">
        <v>87</v>
      </c>
      <c r="F104" s="337">
        <v>0</v>
      </c>
    </row>
    <row r="105" spans="2:6">
      <c r="B105" s="334" t="s">
        <v>200</v>
      </c>
      <c r="D105" s="335">
        <v>6290</v>
      </c>
      <c r="E105" s="336">
        <v>150</v>
      </c>
      <c r="F105" s="337">
        <v>0</v>
      </c>
    </row>
    <row r="106" spans="2:6">
      <c r="B106" s="334" t="s">
        <v>90</v>
      </c>
      <c r="D106" s="335">
        <v>6170</v>
      </c>
      <c r="E106" s="336">
        <v>50.4</v>
      </c>
      <c r="F106" s="337">
        <v>0</v>
      </c>
    </row>
    <row r="107" spans="2:6">
      <c r="B107" s="334" t="s">
        <v>230</v>
      </c>
      <c r="D107" s="335">
        <v>6074</v>
      </c>
      <c r="E107" s="336">
        <v>10</v>
      </c>
      <c r="F107" s="337">
        <v>7</v>
      </c>
    </row>
    <row r="108" spans="2:6">
      <c r="B108" s="356" t="s">
        <v>151</v>
      </c>
      <c r="D108" s="335"/>
      <c r="E108" s="336"/>
      <c r="F108" s="337"/>
    </row>
    <row r="109" spans="2:6" ht="13.8">
      <c r="B109" s="345">
        <v>10</v>
      </c>
      <c r="C109" s="364"/>
      <c r="D109" s="365"/>
      <c r="E109" s="348">
        <f>SUM(E110:E112)</f>
        <v>254.02999999999997</v>
      </c>
      <c r="F109" s="349"/>
    </row>
    <row r="110" spans="2:6">
      <c r="B110" s="334" t="s">
        <v>196</v>
      </c>
      <c r="D110" s="335">
        <v>6263</v>
      </c>
      <c r="E110" s="336">
        <v>222.17</v>
      </c>
      <c r="F110" s="337">
        <v>0</v>
      </c>
    </row>
    <row r="111" spans="2:6">
      <c r="B111" s="334" t="s">
        <v>15</v>
      </c>
      <c r="D111" s="335">
        <v>6261</v>
      </c>
      <c r="E111" s="336">
        <v>31.86</v>
      </c>
      <c r="F111" s="337">
        <v>0</v>
      </c>
    </row>
    <row r="112" spans="2:6">
      <c r="B112" s="355" t="s">
        <v>151</v>
      </c>
      <c r="C112" s="342"/>
      <c r="D112" s="343"/>
      <c r="E112" s="344"/>
      <c r="F112" s="353"/>
    </row>
    <row r="113" spans="11:11">
      <c r="K113" s="366"/>
    </row>
    <row r="114" spans="11:11">
      <c r="K114" s="366"/>
    </row>
    <row r="115" spans="11:11">
      <c r="K115" s="366"/>
    </row>
    <row r="116" spans="11:11">
      <c r="K116" s="366"/>
    </row>
    <row r="117" spans="11:11">
      <c r="K117" s="366"/>
    </row>
    <row r="118" spans="11:11">
      <c r="K118" s="366"/>
    </row>
    <row r="119" spans="11:11">
      <c r="K119" s="366"/>
    </row>
    <row r="120" spans="11:11">
      <c r="K120" s="366"/>
    </row>
    <row r="121" spans="11:11">
      <c r="K121" s="366"/>
    </row>
    <row r="122" spans="11:11">
      <c r="K122" s="366"/>
    </row>
    <row r="123" spans="11:11">
      <c r="K123" s="366"/>
    </row>
    <row r="124" spans="11:11">
      <c r="K124" s="366"/>
    </row>
    <row r="125" spans="11:11">
      <c r="K125" s="366"/>
    </row>
    <row r="126" spans="11:11">
      <c r="K126" s="366"/>
    </row>
    <row r="127" spans="11:11">
      <c r="K127" s="366"/>
    </row>
    <row r="128" spans="11:11">
      <c r="K128" s="366"/>
    </row>
    <row r="129" spans="11:11">
      <c r="K129" s="366"/>
    </row>
    <row r="130" spans="11:11">
      <c r="K130" s="366"/>
    </row>
    <row r="131" spans="11:11">
      <c r="K131" s="366"/>
    </row>
    <row r="132" spans="11:11">
      <c r="K132" s="366"/>
    </row>
    <row r="133" spans="11:11">
      <c r="K133" s="366"/>
    </row>
    <row r="134" spans="11:11">
      <c r="K134" s="366"/>
    </row>
    <row r="135" spans="11:11">
      <c r="K135" s="366"/>
    </row>
    <row r="136" spans="11:11">
      <c r="K136" s="366"/>
    </row>
    <row r="137" spans="11:11">
      <c r="K137" s="366"/>
    </row>
    <row r="138" spans="11:11">
      <c r="K138" s="366"/>
    </row>
    <row r="139" spans="11:11">
      <c r="K139" s="366"/>
    </row>
    <row r="140" spans="11:11">
      <c r="K140" s="366"/>
    </row>
    <row r="141" spans="11:11">
      <c r="K141" s="366"/>
    </row>
    <row r="142" spans="11:11">
      <c r="K142" s="366"/>
    </row>
    <row r="143" spans="11:11">
      <c r="K143" s="366"/>
    </row>
    <row r="144" spans="11:11">
      <c r="K144" s="366"/>
    </row>
    <row r="145" spans="11:11">
      <c r="K145" s="366"/>
    </row>
    <row r="146" spans="11:11">
      <c r="K146" s="366"/>
    </row>
    <row r="147" spans="11:11">
      <c r="K147" s="366"/>
    </row>
    <row r="148" spans="11:11">
      <c r="K148" s="366"/>
    </row>
    <row r="149" spans="11:11">
      <c r="K149" s="366"/>
    </row>
    <row r="150" spans="11:11">
      <c r="K150" s="366"/>
    </row>
    <row r="151" spans="11:11">
      <c r="K151" s="366"/>
    </row>
    <row r="152" spans="11:11">
      <c r="K152" s="366"/>
    </row>
    <row r="153" spans="11:11">
      <c r="K153" s="366"/>
    </row>
    <row r="154" spans="11:11">
      <c r="K154" s="366"/>
    </row>
    <row r="155" spans="11:11">
      <c r="K155" s="366"/>
    </row>
    <row r="156" spans="11:11">
      <c r="K156" s="366"/>
    </row>
    <row r="157" spans="11:11">
      <c r="K157" s="366"/>
    </row>
    <row r="158" spans="11:11">
      <c r="K158" s="366"/>
    </row>
    <row r="159" spans="11:11">
      <c r="K159" s="366"/>
    </row>
    <row r="160" spans="11:11">
      <c r="K160" s="366"/>
    </row>
    <row r="161" spans="11:11">
      <c r="K161" s="366"/>
    </row>
    <row r="162" spans="11:11">
      <c r="K162" s="366"/>
    </row>
    <row r="163" spans="11:11">
      <c r="K163" s="366"/>
    </row>
    <row r="164" spans="11:11">
      <c r="K164" s="366"/>
    </row>
    <row r="165" spans="11:11">
      <c r="K165" s="366"/>
    </row>
    <row r="166" spans="11:11">
      <c r="K166" s="366"/>
    </row>
    <row r="167" spans="11:11">
      <c r="K167" s="366"/>
    </row>
    <row r="168" spans="11:11">
      <c r="K168" s="366"/>
    </row>
    <row r="169" spans="11:11">
      <c r="K169" s="366"/>
    </row>
    <row r="170" spans="11:11">
      <c r="K170" s="366"/>
    </row>
    <row r="171" spans="11:11">
      <c r="K171" s="366"/>
    </row>
    <row r="172" spans="11:11">
      <c r="K172" s="366"/>
    </row>
    <row r="173" spans="11:11">
      <c r="K173" s="366"/>
    </row>
    <row r="174" spans="11:11">
      <c r="K174" s="366"/>
    </row>
    <row r="175" spans="11:11">
      <c r="K175" s="366"/>
    </row>
    <row r="176" spans="11:11">
      <c r="K176" s="366"/>
    </row>
    <row r="177" spans="11:11">
      <c r="K177" s="366"/>
    </row>
    <row r="178" spans="11:11">
      <c r="K178" s="366"/>
    </row>
    <row r="179" spans="11:11">
      <c r="K179" s="366"/>
    </row>
    <row r="180" spans="11:11">
      <c r="K180" s="366"/>
    </row>
    <row r="181" spans="11:11">
      <c r="K181" s="366"/>
    </row>
    <row r="182" spans="11:11">
      <c r="K182" s="366"/>
    </row>
    <row r="183" spans="11:11">
      <c r="K183" s="366"/>
    </row>
    <row r="184" spans="11:11">
      <c r="K184" s="366"/>
    </row>
    <row r="185" spans="11:11">
      <c r="K185" s="366"/>
    </row>
    <row r="186" spans="11:11">
      <c r="K186" s="366"/>
    </row>
    <row r="187" spans="11:11">
      <c r="K187" s="366"/>
    </row>
    <row r="188" spans="11:11">
      <c r="K188" s="366"/>
    </row>
    <row r="189" spans="11:11">
      <c r="K189" s="366"/>
    </row>
    <row r="190" spans="11:11">
      <c r="K190" s="366"/>
    </row>
    <row r="191" spans="11:11">
      <c r="K191" s="366"/>
    </row>
    <row r="192" spans="11:11">
      <c r="K192" s="366"/>
    </row>
    <row r="193" spans="5:11">
      <c r="K193" s="366"/>
    </row>
    <row r="194" spans="5:11">
      <c r="K194" s="366"/>
    </row>
    <row r="195" spans="5:11">
      <c r="K195" s="366"/>
    </row>
    <row r="196" spans="5:11">
      <c r="K196" s="366"/>
    </row>
    <row r="198" spans="5:11">
      <c r="E198" s="366"/>
    </row>
    <row r="199" spans="5:11">
      <c r="E199" s="366"/>
    </row>
    <row r="200" spans="5:11">
      <c r="E200" s="366"/>
    </row>
    <row r="201" spans="5:11">
      <c r="E201" s="366"/>
    </row>
    <row r="202" spans="5:11">
      <c r="E202" s="366"/>
    </row>
    <row r="203" spans="5:11">
      <c r="E203" s="366"/>
    </row>
    <row r="204" spans="5:11">
      <c r="E204" s="366"/>
    </row>
    <row r="205" spans="5:11">
      <c r="E205" s="366"/>
    </row>
    <row r="206" spans="5:11">
      <c r="E206" s="366"/>
    </row>
    <row r="207" spans="5:11">
      <c r="E207" s="366"/>
    </row>
    <row r="208" spans="5:11">
      <c r="E208" s="366"/>
    </row>
    <row r="209" spans="5:11">
      <c r="E209" s="366"/>
    </row>
    <row r="210" spans="5:11">
      <c r="E210" s="366"/>
    </row>
    <row r="211" spans="5:11">
      <c r="E211" s="366"/>
    </row>
    <row r="212" spans="5:11">
      <c r="E212" s="366"/>
    </row>
    <row r="213" spans="5:11">
      <c r="E213" s="366"/>
    </row>
    <row r="214" spans="5:11">
      <c r="E214" s="366"/>
    </row>
    <row r="215" spans="5:11">
      <c r="E215" s="366"/>
    </row>
    <row r="216" spans="5:11">
      <c r="E216" s="366"/>
      <c r="K216" s="366"/>
    </row>
    <row r="217" spans="5:11">
      <c r="E217" s="366"/>
      <c r="K217" s="366"/>
    </row>
    <row r="218" spans="5:11">
      <c r="E218" s="366"/>
      <c r="K218" s="366"/>
    </row>
    <row r="219" spans="5:11">
      <c r="E219" s="366"/>
      <c r="K219" s="366"/>
    </row>
    <row r="220" spans="5:11">
      <c r="E220" s="366"/>
      <c r="K220" s="366"/>
    </row>
    <row r="221" spans="5:11">
      <c r="E221" s="366"/>
      <c r="K221" s="366"/>
    </row>
    <row r="222" spans="5:11">
      <c r="E222" s="366"/>
      <c r="K222" s="366"/>
    </row>
    <row r="223" spans="5:11">
      <c r="E223" s="366"/>
      <c r="K223" s="366"/>
    </row>
    <row r="224" spans="5:11">
      <c r="E224" s="366"/>
      <c r="K224" s="366"/>
    </row>
    <row r="225" spans="5:11">
      <c r="E225" s="366"/>
      <c r="K225" s="366"/>
    </row>
    <row r="226" spans="5:11">
      <c r="E226" s="366"/>
      <c r="K226" s="366"/>
    </row>
    <row r="227" spans="5:11">
      <c r="E227" s="366"/>
      <c r="K227" s="366"/>
    </row>
    <row r="228" spans="5:11">
      <c r="E228" s="366"/>
      <c r="K228" s="366"/>
    </row>
    <row r="229" spans="5:11">
      <c r="E229" s="366"/>
      <c r="K229" s="366"/>
    </row>
    <row r="230" spans="5:11">
      <c r="E230" s="366"/>
      <c r="K230" s="366"/>
    </row>
    <row r="231" spans="5:11">
      <c r="E231" s="366"/>
      <c r="K231" s="366"/>
    </row>
    <row r="232" spans="5:11">
      <c r="E232" s="366"/>
      <c r="K232" s="366"/>
    </row>
    <row r="233" spans="5:11">
      <c r="E233" s="366"/>
      <c r="K233" s="366"/>
    </row>
    <row r="234" spans="5:11">
      <c r="E234" s="366"/>
      <c r="K234" s="366"/>
    </row>
    <row r="235" spans="5:11">
      <c r="E235" s="366"/>
      <c r="K235" s="366"/>
    </row>
    <row r="236" spans="5:11">
      <c r="E236" s="366"/>
      <c r="K236" s="366"/>
    </row>
    <row r="237" spans="5:11">
      <c r="E237" s="366"/>
      <c r="K237" s="366"/>
    </row>
    <row r="238" spans="5:11">
      <c r="E238" s="366"/>
      <c r="K238" s="366"/>
    </row>
    <row r="239" spans="5:11">
      <c r="E239" s="366"/>
      <c r="K239" s="366"/>
    </row>
    <row r="240" spans="5:11">
      <c r="E240" s="366"/>
      <c r="K240" s="366"/>
    </row>
    <row r="241" spans="5:11">
      <c r="E241" s="366"/>
      <c r="K241" s="366"/>
    </row>
    <row r="242" spans="5:11">
      <c r="E242" s="366"/>
      <c r="K242" s="366"/>
    </row>
    <row r="243" spans="5:11">
      <c r="E243" s="366"/>
      <c r="K243" s="366"/>
    </row>
    <row r="244" spans="5:11">
      <c r="E244" s="366"/>
      <c r="K244" s="366"/>
    </row>
    <row r="245" spans="5:11">
      <c r="E245" s="366"/>
      <c r="K245" s="366"/>
    </row>
    <row r="246" spans="5:11">
      <c r="E246" s="366"/>
      <c r="K246" s="366"/>
    </row>
    <row r="247" spans="5:11">
      <c r="E247" s="366"/>
      <c r="K247" s="366"/>
    </row>
    <row r="248" spans="5:11">
      <c r="E248" s="366"/>
      <c r="K248" s="366"/>
    </row>
    <row r="249" spans="5:11">
      <c r="E249" s="366"/>
      <c r="K249" s="366"/>
    </row>
    <row r="250" spans="5:11">
      <c r="E250" s="366"/>
      <c r="K250" s="366"/>
    </row>
    <row r="251" spans="5:11">
      <c r="E251" s="366"/>
      <c r="K251" s="366"/>
    </row>
    <row r="252" spans="5:11">
      <c r="E252" s="366"/>
      <c r="K252" s="366"/>
    </row>
    <row r="253" spans="5:11">
      <c r="E253" s="366"/>
      <c r="K253" s="366"/>
    </row>
    <row r="254" spans="5:11">
      <c r="E254" s="366"/>
      <c r="K254" s="366"/>
    </row>
    <row r="255" spans="5:11">
      <c r="E255" s="366"/>
      <c r="K255" s="366"/>
    </row>
    <row r="256" spans="5:11">
      <c r="E256" s="366"/>
      <c r="K256" s="366"/>
    </row>
    <row r="257" spans="5:11">
      <c r="E257" s="366"/>
      <c r="K257" s="366"/>
    </row>
    <row r="258" spans="5:11">
      <c r="E258" s="366"/>
      <c r="K258" s="366"/>
    </row>
    <row r="259" spans="5:11">
      <c r="E259" s="366"/>
      <c r="K259" s="366"/>
    </row>
    <row r="260" spans="5:11">
      <c r="E260" s="366"/>
      <c r="K260" s="366"/>
    </row>
    <row r="261" spans="5:11">
      <c r="E261" s="366"/>
      <c r="K261" s="366"/>
    </row>
    <row r="262" spans="5:11">
      <c r="E262" s="366"/>
      <c r="K262" s="366"/>
    </row>
    <row r="263" spans="5:11">
      <c r="E263" s="366"/>
      <c r="K263" s="366"/>
    </row>
    <row r="264" spans="5:11">
      <c r="E264" s="366"/>
      <c r="K264" s="366"/>
    </row>
    <row r="265" spans="5:11">
      <c r="E265" s="366"/>
      <c r="K265" s="366"/>
    </row>
    <row r="266" spans="5:11">
      <c r="E266" s="366"/>
      <c r="K266" s="366"/>
    </row>
    <row r="267" spans="5:11">
      <c r="E267" s="366"/>
      <c r="K267" s="366"/>
    </row>
    <row r="268" spans="5:11">
      <c r="E268" s="366"/>
      <c r="K268" s="366"/>
    </row>
    <row r="269" spans="5:11">
      <c r="E269" s="366"/>
      <c r="K269" s="366"/>
    </row>
    <row r="270" spans="5:11">
      <c r="E270" s="366"/>
      <c r="K270" s="366"/>
    </row>
    <row r="271" spans="5:11">
      <c r="E271" s="366"/>
      <c r="K271" s="366"/>
    </row>
    <row r="272" spans="5:11">
      <c r="E272" s="366"/>
      <c r="K272" s="366"/>
    </row>
    <row r="273" spans="5:11">
      <c r="E273" s="366"/>
      <c r="K273" s="366"/>
    </row>
    <row r="274" spans="5:11">
      <c r="E274" s="366"/>
      <c r="K274" s="366"/>
    </row>
    <row r="275" spans="5:11">
      <c r="E275" s="366"/>
      <c r="K275" s="366"/>
    </row>
    <row r="276" spans="5:11">
      <c r="E276" s="366"/>
      <c r="K276" s="366"/>
    </row>
    <row r="277" spans="5:11">
      <c r="E277" s="366"/>
      <c r="K277" s="366"/>
    </row>
    <row r="278" spans="5:11">
      <c r="E278" s="366"/>
      <c r="K278" s="366"/>
    </row>
    <row r="279" spans="5:11">
      <c r="E279" s="366"/>
      <c r="K279" s="366"/>
    </row>
    <row r="280" spans="5:11">
      <c r="E280" s="366"/>
      <c r="K280" s="366"/>
    </row>
    <row r="281" spans="5:11">
      <c r="E281" s="366"/>
      <c r="K281" s="366"/>
    </row>
    <row r="282" spans="5:11">
      <c r="E282" s="366"/>
      <c r="K282" s="366"/>
    </row>
    <row r="283" spans="5:11">
      <c r="E283" s="366"/>
      <c r="K283" s="366"/>
    </row>
    <row r="284" spans="5:11">
      <c r="E284" s="366"/>
      <c r="K284" s="366"/>
    </row>
    <row r="285" spans="5:11">
      <c r="E285" s="366"/>
      <c r="K285" s="366"/>
    </row>
    <row r="286" spans="5:11">
      <c r="E286" s="366"/>
      <c r="K286" s="366"/>
    </row>
    <row r="287" spans="5:11">
      <c r="E287" s="366"/>
      <c r="K287" s="366"/>
    </row>
    <row r="288" spans="5:11">
      <c r="E288" s="366"/>
      <c r="K288" s="366"/>
    </row>
    <row r="289" spans="5:11">
      <c r="E289" s="366"/>
      <c r="K289" s="366"/>
    </row>
    <row r="290" spans="5:11">
      <c r="E290" s="366"/>
      <c r="K290" s="366"/>
    </row>
    <row r="291" spans="5:11">
      <c r="E291" s="366"/>
      <c r="K291" s="366"/>
    </row>
  </sheetData>
  <conditionalFormatting sqref="K27:K28 K31:K34 K36:K64 E108 K111:K113 K102:K105 C13:M14 E110:F112 E26:F31 E20:F21 K20:K22 E102:F107 E33:F72 K66:K79 E74:F100">
    <cfRule type="cellIs" dxfId="109" priority="8" operator="equal">
      <formula>0</formula>
    </cfRule>
  </conditionalFormatting>
  <conditionalFormatting sqref="K80">
    <cfRule type="cellIs" dxfId="108" priority="7" operator="equal">
      <formula>0</formula>
    </cfRule>
  </conditionalFormatting>
  <conditionalFormatting sqref="K27:K28 K31:K34 K36:K64 E198:E291 K216:K291 E108 K111:K196 K102:K105 C13:M14 E110:F112 E26:F31 E20:F21 K20:K22 E102:F107 E33:F72 K66:K79 E74:F100">
    <cfRule type="cellIs" dxfId="107" priority="6" operator="equal">
      <formula>0</formula>
    </cfRule>
  </conditionalFormatting>
  <conditionalFormatting sqref="K80">
    <cfRule type="cellIs" dxfId="106" priority="5" operator="equal">
      <formula>0</formula>
    </cfRule>
  </conditionalFormatting>
  <conditionalFormatting sqref="K27:K28 K31:K34 K36:K64 E198:E291 K216:K291 E108 K111:K196 K102:K105 C13:M14 E110:F112 E26:F31 E20:F21 K20:K22 E102:F107 E33:F72 K66:K79 E74:F100">
    <cfRule type="cellIs" dxfId="105" priority="4" operator="equal">
      <formula>0</formula>
    </cfRule>
  </conditionalFormatting>
  <conditionalFormatting sqref="K80">
    <cfRule type="cellIs" dxfId="104" priority="3" operator="equal">
      <formula>0</formula>
    </cfRule>
  </conditionalFormatting>
  <conditionalFormatting sqref="K27:K28 K31:K34 K36:K64 E108 K111:K112 K102:K105 C13:M14 E110:F112 E26:F31 E20:F21 K20:K22 E102:F107 E33:F72 K66:K79 E74:F100">
    <cfRule type="cellIs" dxfId="103" priority="2" operator="equal">
      <formula>0</formula>
    </cfRule>
  </conditionalFormatting>
  <conditionalFormatting sqref="K80">
    <cfRule type="cellIs" dxfId="102" priority="1" operator="equal">
      <formula>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N282"/>
  <sheetViews>
    <sheetView showGridLines="0" workbookViewId="0">
      <selection activeCell="A12" sqref="A12:N16"/>
    </sheetView>
  </sheetViews>
  <sheetFormatPr baseColWidth="10" defaultColWidth="11.44140625" defaultRowHeight="13.2"/>
  <cols>
    <col min="1" max="16384" width="11.44140625" style="277"/>
  </cols>
  <sheetData>
    <row r="4" spans="2:14" ht="13.8">
      <c r="B4" s="275" t="s">
        <v>128</v>
      </c>
      <c r="C4" s="276">
        <v>2</v>
      </c>
      <c r="D4" s="276" t="s">
        <v>201</v>
      </c>
    </row>
    <row r="5" spans="2:14">
      <c r="B5" s="368"/>
      <c r="C5" s="369" t="s">
        <v>202</v>
      </c>
      <c r="D5" s="280"/>
      <c r="E5" s="281" t="s">
        <v>131</v>
      </c>
      <c r="F5" s="282"/>
      <c r="G5" s="283" t="s">
        <v>132</v>
      </c>
    </row>
    <row r="6" spans="2:14" ht="13.8">
      <c r="B6" s="325" t="s">
        <v>133</v>
      </c>
      <c r="C6" s="370">
        <v>55118.899868643319</v>
      </c>
      <c r="D6" s="371">
        <f>C6/$C$6</f>
        <v>1</v>
      </c>
      <c r="E6" s="372" t="e">
        <f>SUM(E7:E8)</f>
        <v>#VALUE!</v>
      </c>
      <c r="F6" s="96" t="e">
        <f>E6/$D$3</f>
        <v>#VALUE!</v>
      </c>
      <c r="G6" s="288" t="s">
        <v>134</v>
      </c>
      <c r="I6" s="289" t="s">
        <v>135</v>
      </c>
      <c r="J6" s="92">
        <v>0.7</v>
      </c>
      <c r="K6" s="373">
        <f>J6*C6</f>
        <v>38583.229908050322</v>
      </c>
    </row>
    <row r="7" spans="2:14">
      <c r="B7" s="374" t="s">
        <v>115</v>
      </c>
      <c r="C7" s="375">
        <f>0.85617724*C6</f>
        <v>47191.547561371393</v>
      </c>
      <c r="D7" s="98">
        <f t="shared" ref="D7:D8" si="0">C7/$C$6</f>
        <v>0.85617723999999984</v>
      </c>
      <c r="E7" s="376" t="e">
        <f>SUMIFS([20]Ram!H5:H1003,[20]Ram!D5:D1003,230,[20]Ram!G5:G1003,"S")</f>
        <v>#VALUE!</v>
      </c>
      <c r="F7" s="97" t="e">
        <f>E7/$D$3</f>
        <v>#VALUE!</v>
      </c>
      <c r="G7" s="377" t="e">
        <f>C7/E7</f>
        <v>#VALUE!</v>
      </c>
      <c r="I7" s="289" t="s">
        <v>136</v>
      </c>
      <c r="J7" s="92">
        <v>0.3</v>
      </c>
      <c r="K7" s="373">
        <f>J7*C6</f>
        <v>16535.669960592993</v>
      </c>
    </row>
    <row r="8" spans="2:14">
      <c r="B8" s="378" t="s">
        <v>137</v>
      </c>
      <c r="C8" s="379">
        <f>0.14382276*C6</f>
        <v>7927.352307271919</v>
      </c>
      <c r="D8" s="95">
        <f t="shared" si="0"/>
        <v>0.14382275999999999</v>
      </c>
      <c r="E8" s="380" t="e">
        <f>SUMIFS([20]Ram!H5:H1003,[20]Ram!D5:D1003,115,[20]Ram!G5:G1003,"S")</f>
        <v>#VALUE!</v>
      </c>
      <c r="F8" s="99" t="e">
        <f>E8/$D$3</f>
        <v>#VALUE!</v>
      </c>
      <c r="G8" s="381" t="e">
        <f>C8/E8</f>
        <v>#VALUE!</v>
      </c>
    </row>
    <row r="9" spans="2:14">
      <c r="B9" s="300"/>
      <c r="C9" s="300"/>
      <c r="I9" s="302" t="s">
        <v>233</v>
      </c>
      <c r="N9" s="303">
        <v>8620.303209524147</v>
      </c>
    </row>
    <row r="10" spans="2:14" ht="13.8">
      <c r="B10" s="319" t="s">
        <v>138</v>
      </c>
      <c r="C10" s="370">
        <v>0</v>
      </c>
      <c r="D10" s="91">
        <v>1</v>
      </c>
      <c r="E10" s="382" t="e">
        <f>SUMIFS([20]Ram!H5:H1003,[20]Ram!D5:D1003,230,[20]Ram!G5:G1003,"SD")</f>
        <v>#VALUE!</v>
      </c>
      <c r="F10" s="91">
        <v>1</v>
      </c>
      <c r="G10" s="383">
        <f>IF(C10&gt;0,C10/E10,0)</f>
        <v>0</v>
      </c>
      <c r="H10" s="277" t="s">
        <v>139</v>
      </c>
    </row>
    <row r="12" spans="2:14">
      <c r="B12" s="306" t="s">
        <v>272</v>
      </c>
    </row>
    <row r="13" spans="2:14">
      <c r="B13" s="307" t="s">
        <v>140</v>
      </c>
      <c r="C13" s="308" t="s">
        <v>20</v>
      </c>
      <c r="D13" s="309" t="s">
        <v>21</v>
      </c>
      <c r="E13" s="309" t="s">
        <v>22</v>
      </c>
      <c r="F13" s="309" t="s">
        <v>23</v>
      </c>
      <c r="G13" s="309" t="s">
        <v>24</v>
      </c>
      <c r="H13" s="309" t="s">
        <v>25</v>
      </c>
      <c r="I13" s="309" t="s">
        <v>26</v>
      </c>
      <c r="J13" s="309" t="s">
        <v>27</v>
      </c>
      <c r="K13" s="309" t="s">
        <v>28</v>
      </c>
      <c r="L13" s="310" t="s">
        <v>29</v>
      </c>
      <c r="M13" s="311" t="s">
        <v>16</v>
      </c>
    </row>
    <row r="14" spans="2:14">
      <c r="B14" s="312" t="s">
        <v>141</v>
      </c>
      <c r="C14" s="384">
        <f>E20</f>
        <v>210.2</v>
      </c>
      <c r="D14" s="384">
        <f>E26</f>
        <v>537.77</v>
      </c>
      <c r="E14" s="384">
        <f>E33</f>
        <v>169.17</v>
      </c>
      <c r="F14" s="384">
        <f>E43</f>
        <v>348.39300000000003</v>
      </c>
      <c r="G14" s="384">
        <f>E67</f>
        <v>278.7</v>
      </c>
      <c r="H14" s="384">
        <f>E80</f>
        <v>105.8</v>
      </c>
      <c r="I14" s="384">
        <f>E85</f>
        <v>188.76</v>
      </c>
      <c r="J14" s="384">
        <f>E90</f>
        <v>260</v>
      </c>
      <c r="K14" s="384">
        <f>E93</f>
        <v>567.4</v>
      </c>
      <c r="L14" s="384">
        <f>E100</f>
        <v>254.02999999999997</v>
      </c>
      <c r="M14" s="385">
        <f>SUM(C14:L14)</f>
        <v>2920.223</v>
      </c>
      <c r="N14" s="386">
        <f>SUM(E20:E105)-E20-E26-E33-E43-E67-E80-E85-E90-E93-E100</f>
        <v>2920.2229999999981</v>
      </c>
    </row>
    <row r="15" spans="2:14">
      <c r="B15" s="316" t="s">
        <v>142</v>
      </c>
      <c r="C15" s="387">
        <f>K20</f>
        <v>27.319999999999997</v>
      </c>
      <c r="D15" s="387">
        <f>K25</f>
        <v>0</v>
      </c>
      <c r="E15" s="387">
        <f>K27</f>
        <v>7.0000000000000007E-2</v>
      </c>
      <c r="F15" s="387">
        <f>K31</f>
        <v>85.890000000000015</v>
      </c>
      <c r="G15" s="387">
        <f>K37</f>
        <v>209.70999999999998</v>
      </c>
      <c r="H15" s="387">
        <f>K46</f>
        <v>117.94</v>
      </c>
      <c r="I15" s="387">
        <f>K52</f>
        <v>1017.5400000000001</v>
      </c>
      <c r="J15" s="387">
        <f>K66</f>
        <v>1.6</v>
      </c>
      <c r="K15" s="387">
        <f>K70</f>
        <v>171.71699999999998</v>
      </c>
      <c r="L15" s="387">
        <f>K77</f>
        <v>40.700000000000003</v>
      </c>
      <c r="M15" s="388">
        <f>SUM(C15:L15)</f>
        <v>1672.4869999999999</v>
      </c>
      <c r="N15" s="386">
        <f>SUM(K20:K105)-K20-K25-K27-K31-K37-K46-K52-K66-K70-K77</f>
        <v>1672.4869999999989</v>
      </c>
    </row>
    <row r="18" spans="2:13">
      <c r="B18" s="306" t="s">
        <v>143</v>
      </c>
      <c r="C18" s="319"/>
      <c r="D18" s="319"/>
      <c r="E18" s="319"/>
      <c r="F18" s="319"/>
      <c r="G18" s="319"/>
      <c r="H18" s="320" t="s">
        <v>144</v>
      </c>
      <c r="I18" s="319"/>
      <c r="J18" s="319"/>
      <c r="K18" s="319"/>
      <c r="L18" s="319"/>
      <c r="M18" s="319"/>
    </row>
    <row r="19" spans="2:13" ht="26.4">
      <c r="B19" s="321" t="s">
        <v>145</v>
      </c>
      <c r="C19" s="322"/>
      <c r="D19" s="323" t="s">
        <v>146</v>
      </c>
      <c r="E19" s="324" t="s">
        <v>141</v>
      </c>
      <c r="F19" s="324" t="s">
        <v>147</v>
      </c>
      <c r="H19" s="325" t="s">
        <v>145</v>
      </c>
      <c r="I19" s="326"/>
      <c r="J19" s="327" t="s">
        <v>146</v>
      </c>
      <c r="K19" s="328" t="s">
        <v>142</v>
      </c>
    </row>
    <row r="20" spans="2:13" ht="13.8">
      <c r="B20" s="329">
        <v>1</v>
      </c>
      <c r="C20" s="330"/>
      <c r="D20" s="331"/>
      <c r="E20" s="332">
        <f>SUM(E21:E25)</f>
        <v>210.2</v>
      </c>
      <c r="F20" s="333"/>
      <c r="H20" s="329">
        <v>1</v>
      </c>
      <c r="I20" s="330"/>
      <c r="J20" s="331"/>
      <c r="K20" s="332">
        <f>SUM(K21:K24)</f>
        <v>27.319999999999997</v>
      </c>
    </row>
    <row r="21" spans="2:13" ht="13.8">
      <c r="B21" s="334" t="s">
        <v>83</v>
      </c>
      <c r="D21" s="335">
        <v>6014</v>
      </c>
      <c r="E21" s="336">
        <v>88.2</v>
      </c>
      <c r="F21" s="337">
        <v>0</v>
      </c>
      <c r="H21" s="338" t="s">
        <v>91</v>
      </c>
      <c r="J21" s="335"/>
      <c r="K21" s="336"/>
    </row>
    <row r="22" spans="2:13">
      <c r="B22" s="334" t="s">
        <v>31</v>
      </c>
      <c r="D22" s="335">
        <v>6014</v>
      </c>
      <c r="E22" s="336">
        <v>56</v>
      </c>
      <c r="F22" s="337">
        <v>0</v>
      </c>
      <c r="H22" s="334" t="s">
        <v>148</v>
      </c>
      <c r="J22" s="335">
        <v>6014</v>
      </c>
      <c r="K22" s="336">
        <v>26.49</v>
      </c>
    </row>
    <row r="23" spans="2:13">
      <c r="B23" s="334" t="s">
        <v>149</v>
      </c>
      <c r="D23" s="335">
        <v>6014</v>
      </c>
      <c r="E23" s="336">
        <v>10</v>
      </c>
      <c r="F23" s="337">
        <v>0</v>
      </c>
      <c r="H23" s="334" t="s">
        <v>150</v>
      </c>
      <c r="J23" s="335">
        <v>6014</v>
      </c>
      <c r="K23" s="336">
        <v>0.83</v>
      </c>
    </row>
    <row r="24" spans="2:13">
      <c r="B24" s="334" t="s">
        <v>203</v>
      </c>
      <c r="D24" s="335">
        <v>6014</v>
      </c>
      <c r="E24" s="336">
        <v>56</v>
      </c>
      <c r="F24" s="337">
        <v>3</v>
      </c>
      <c r="H24" s="341" t="s">
        <v>151</v>
      </c>
      <c r="I24" s="342"/>
      <c r="J24" s="343"/>
      <c r="K24" s="344"/>
    </row>
    <row r="25" spans="2:13" ht="13.8">
      <c r="B25" s="340" t="s">
        <v>151</v>
      </c>
      <c r="D25" s="335"/>
      <c r="E25" s="336"/>
      <c r="F25" s="337"/>
      <c r="H25" s="345">
        <v>2</v>
      </c>
      <c r="I25" s="346"/>
      <c r="J25" s="347"/>
      <c r="K25" s="348">
        <f>SUM(K26)</f>
        <v>0</v>
      </c>
    </row>
    <row r="26" spans="2:13" ht="13.8">
      <c r="B26" s="345">
        <v>2</v>
      </c>
      <c r="C26" s="346"/>
      <c r="D26" s="347"/>
      <c r="E26" s="348">
        <f>SUM(E27:E32)</f>
        <v>537.77</v>
      </c>
      <c r="F26" s="349"/>
      <c r="H26" s="341" t="s">
        <v>151</v>
      </c>
      <c r="I26" s="342"/>
      <c r="J26" s="343"/>
      <c r="K26" s="344"/>
    </row>
    <row r="27" spans="2:13" ht="13.8">
      <c r="B27" s="334" t="s">
        <v>32</v>
      </c>
      <c r="D27" s="335">
        <v>6096</v>
      </c>
      <c r="E27" s="336">
        <v>300</v>
      </c>
      <c r="F27" s="337">
        <v>0</v>
      </c>
      <c r="H27" s="329">
        <v>3</v>
      </c>
      <c r="I27" s="330"/>
      <c r="J27" s="331"/>
      <c r="K27" s="332">
        <f>SUM(K28:K30)</f>
        <v>7.0000000000000007E-2</v>
      </c>
    </row>
    <row r="28" spans="2:13" ht="13.8">
      <c r="B28" s="334" t="s">
        <v>33</v>
      </c>
      <c r="D28" s="335">
        <v>6179</v>
      </c>
      <c r="E28" s="336">
        <v>120</v>
      </c>
      <c r="F28" s="337">
        <v>0</v>
      </c>
      <c r="H28" s="338" t="s">
        <v>91</v>
      </c>
      <c r="J28" s="335"/>
      <c r="K28" s="336"/>
    </row>
    <row r="29" spans="2:13">
      <c r="B29" s="334" t="s">
        <v>76</v>
      </c>
      <c r="D29" s="335">
        <v>6179</v>
      </c>
      <c r="E29" s="336">
        <v>25.34</v>
      </c>
      <c r="F29" s="337">
        <v>0</v>
      </c>
      <c r="H29" s="334" t="s">
        <v>92</v>
      </c>
      <c r="J29" s="335">
        <v>6087</v>
      </c>
      <c r="K29" s="336">
        <v>7.0000000000000007E-2</v>
      </c>
    </row>
    <row r="30" spans="2:13">
      <c r="B30" s="334" t="s">
        <v>77</v>
      </c>
      <c r="D30" s="335">
        <v>6179</v>
      </c>
      <c r="E30" s="336">
        <v>33.770000000000003</v>
      </c>
      <c r="F30" s="337">
        <v>0</v>
      </c>
      <c r="H30" s="350" t="s">
        <v>151</v>
      </c>
      <c r="J30" s="335"/>
      <c r="K30" s="336"/>
    </row>
    <row r="31" spans="2:13" ht="13.8">
      <c r="B31" s="334" t="s">
        <v>78</v>
      </c>
      <c r="D31" s="335">
        <v>6179</v>
      </c>
      <c r="E31" s="336">
        <v>58.66</v>
      </c>
      <c r="F31" s="337">
        <v>0</v>
      </c>
      <c r="H31" s="345">
        <v>4</v>
      </c>
      <c r="I31" s="346"/>
      <c r="J31" s="347"/>
      <c r="K31" s="348">
        <f>SUM(K32:K36)</f>
        <v>85.890000000000015</v>
      </c>
    </row>
    <row r="32" spans="2:13" ht="13.8">
      <c r="B32" s="351" t="s">
        <v>151</v>
      </c>
      <c r="C32" s="342"/>
      <c r="D32" s="343"/>
      <c r="E32" s="344"/>
      <c r="F32" s="353"/>
      <c r="H32" s="338" t="s">
        <v>91</v>
      </c>
      <c r="J32" s="335"/>
      <c r="K32" s="336"/>
    </row>
    <row r="33" spans="2:11" ht="13.8">
      <c r="B33" s="329">
        <v>3</v>
      </c>
      <c r="C33" s="330"/>
      <c r="D33" s="331"/>
      <c r="E33" s="332">
        <f>SUM(E34:E42)</f>
        <v>169.17</v>
      </c>
      <c r="F33" s="333"/>
      <c r="H33" s="334" t="s">
        <v>153</v>
      </c>
      <c r="J33" s="335">
        <v>6013</v>
      </c>
      <c r="K33" s="336">
        <v>9.76</v>
      </c>
    </row>
    <row r="34" spans="2:11">
      <c r="B34" s="334" t="s">
        <v>152</v>
      </c>
      <c r="D34" s="335">
        <v>6088</v>
      </c>
      <c r="E34" s="336">
        <v>47.2</v>
      </c>
      <c r="F34" s="337">
        <v>0</v>
      </c>
      <c r="H34" s="334" t="s">
        <v>154</v>
      </c>
      <c r="J34" s="335">
        <v>6013</v>
      </c>
      <c r="K34" s="336">
        <v>55.7</v>
      </c>
    </row>
    <row r="35" spans="2:11">
      <c r="B35" s="334" t="s">
        <v>34</v>
      </c>
      <c r="D35" s="335">
        <v>6092</v>
      </c>
      <c r="E35" s="336">
        <v>54.76</v>
      </c>
      <c r="F35" s="337">
        <v>0</v>
      </c>
      <c r="H35" s="334" t="s">
        <v>204</v>
      </c>
      <c r="J35" s="335">
        <v>6012</v>
      </c>
      <c r="K35" s="336">
        <v>20.43</v>
      </c>
    </row>
    <row r="36" spans="2:11">
      <c r="B36" s="334" t="s">
        <v>80</v>
      </c>
      <c r="D36" s="335">
        <v>6300</v>
      </c>
      <c r="E36" s="336">
        <v>19.75</v>
      </c>
      <c r="F36" s="337">
        <v>0</v>
      </c>
      <c r="H36" s="341" t="s">
        <v>151</v>
      </c>
      <c r="I36" s="342"/>
      <c r="J36" s="343"/>
      <c r="K36" s="344"/>
    </row>
    <row r="37" spans="2:11" ht="13.8">
      <c r="B37" s="334" t="s">
        <v>79</v>
      </c>
      <c r="D37" s="335">
        <v>6300</v>
      </c>
      <c r="E37" s="336">
        <v>15.5</v>
      </c>
      <c r="F37" s="337">
        <v>0</v>
      </c>
      <c r="H37" s="329">
        <v>5</v>
      </c>
      <c r="I37" s="330"/>
      <c r="J37" s="331"/>
      <c r="K37" s="332">
        <f>SUM(K38:K45)</f>
        <v>209.70999999999998</v>
      </c>
    </row>
    <row r="38" spans="2:11" ht="13.8">
      <c r="B38" s="334" t="s">
        <v>155</v>
      </c>
      <c r="D38" s="335">
        <v>6300</v>
      </c>
      <c r="E38" s="336">
        <v>8</v>
      </c>
      <c r="F38" s="337">
        <v>0</v>
      </c>
      <c r="H38" s="338" t="s">
        <v>156</v>
      </c>
      <c r="J38" s="335"/>
      <c r="K38" s="336"/>
    </row>
    <row r="39" spans="2:11">
      <c r="B39" s="334" t="s">
        <v>157</v>
      </c>
      <c r="D39" s="335">
        <v>6300</v>
      </c>
      <c r="E39" s="336">
        <v>9.86</v>
      </c>
      <c r="F39" s="337">
        <v>0</v>
      </c>
      <c r="H39" s="334" t="s">
        <v>158</v>
      </c>
      <c r="J39" s="335" t="s">
        <v>205</v>
      </c>
      <c r="K39" s="336">
        <v>170.76</v>
      </c>
    </row>
    <row r="40" spans="2:11" ht="13.8">
      <c r="B40" s="334" t="s">
        <v>206</v>
      </c>
      <c r="D40" s="335">
        <v>6300</v>
      </c>
      <c r="E40" s="336">
        <v>10</v>
      </c>
      <c r="F40" s="337">
        <v>1</v>
      </c>
      <c r="H40" s="338" t="s">
        <v>159</v>
      </c>
      <c r="J40" s="335"/>
      <c r="K40" s="336"/>
    </row>
    <row r="41" spans="2:11">
      <c r="B41" s="334" t="s">
        <v>207</v>
      </c>
      <c r="D41" s="335">
        <v>6300</v>
      </c>
      <c r="E41" s="336">
        <v>4.0999999999999996</v>
      </c>
      <c r="F41" s="337">
        <v>7</v>
      </c>
      <c r="H41" s="334" t="s">
        <v>160</v>
      </c>
      <c r="J41" s="335">
        <v>6009</v>
      </c>
      <c r="K41" s="336">
        <v>1.1299999999999999</v>
      </c>
    </row>
    <row r="42" spans="2:11">
      <c r="B42" s="340" t="s">
        <v>151</v>
      </c>
      <c r="D42" s="335"/>
      <c r="E42" s="336"/>
      <c r="F42" s="337"/>
      <c r="H42" s="334" t="s">
        <v>161</v>
      </c>
      <c r="J42" s="335">
        <v>6009</v>
      </c>
      <c r="K42" s="336">
        <v>0.82</v>
      </c>
    </row>
    <row r="43" spans="2:11" ht="13.8">
      <c r="B43" s="345">
        <v>4</v>
      </c>
      <c r="C43" s="346"/>
      <c r="D43" s="347"/>
      <c r="E43" s="348">
        <f>SUM(E44:E66)</f>
        <v>348.39300000000003</v>
      </c>
      <c r="F43" s="349"/>
      <c r="H43" s="338" t="s">
        <v>208</v>
      </c>
      <c r="J43" s="335"/>
      <c r="K43" s="336"/>
    </row>
    <row r="44" spans="2:11">
      <c r="B44" s="334" t="s">
        <v>82</v>
      </c>
      <c r="D44" s="335">
        <v>6381</v>
      </c>
      <c r="E44" s="336">
        <v>10</v>
      </c>
      <c r="F44" s="337">
        <v>0</v>
      </c>
      <c r="H44" s="334" t="s">
        <v>209</v>
      </c>
      <c r="J44" s="335">
        <v>6008</v>
      </c>
      <c r="K44" s="336">
        <v>37</v>
      </c>
    </row>
    <row r="45" spans="2:11">
      <c r="B45" s="334" t="s">
        <v>162</v>
      </c>
      <c r="D45" s="335">
        <v>6381</v>
      </c>
      <c r="E45" s="336">
        <v>3.5</v>
      </c>
      <c r="F45" s="337">
        <v>0</v>
      </c>
      <c r="H45" s="350" t="s">
        <v>151</v>
      </c>
      <c r="J45" s="335"/>
      <c r="K45" s="336"/>
    </row>
    <row r="46" spans="2:11" ht="13.8">
      <c r="B46" s="334" t="s">
        <v>88</v>
      </c>
      <c r="D46" s="335">
        <v>6013</v>
      </c>
      <c r="E46" s="336">
        <v>6.12</v>
      </c>
      <c r="F46" s="337">
        <v>0</v>
      </c>
      <c r="H46" s="345">
        <v>6</v>
      </c>
      <c r="I46" s="346"/>
      <c r="J46" s="347"/>
      <c r="K46" s="348">
        <f>SUM(K47:K51)</f>
        <v>117.94</v>
      </c>
    </row>
    <row r="47" spans="2:11" ht="13.8">
      <c r="B47" s="334" t="s">
        <v>163</v>
      </c>
      <c r="D47" s="335">
        <v>6013</v>
      </c>
      <c r="E47" s="336">
        <v>4.95</v>
      </c>
      <c r="F47" s="337">
        <v>0</v>
      </c>
      <c r="H47" s="338" t="s">
        <v>156</v>
      </c>
      <c r="J47" s="335"/>
      <c r="K47" s="336"/>
    </row>
    <row r="48" spans="2:11">
      <c r="B48" s="334" t="s">
        <v>81</v>
      </c>
      <c r="D48" s="335">
        <v>6381</v>
      </c>
      <c r="E48" s="336">
        <v>20</v>
      </c>
      <c r="F48" s="337">
        <v>0</v>
      </c>
      <c r="H48" s="334" t="s">
        <v>164</v>
      </c>
      <c r="J48" s="335">
        <v>6005</v>
      </c>
      <c r="K48" s="336">
        <v>116.71</v>
      </c>
    </row>
    <row r="49" spans="2:11" ht="13.8">
      <c r="B49" s="334" t="s">
        <v>165</v>
      </c>
      <c r="D49" s="335">
        <v>6381</v>
      </c>
      <c r="E49" s="336">
        <v>12.89</v>
      </c>
      <c r="F49" s="337">
        <v>0</v>
      </c>
      <c r="H49" s="338" t="s">
        <v>159</v>
      </c>
      <c r="J49" s="335"/>
      <c r="K49" s="336"/>
    </row>
    <row r="50" spans="2:11">
      <c r="B50" s="334" t="s">
        <v>166</v>
      </c>
      <c r="D50" s="335">
        <v>6386</v>
      </c>
      <c r="E50" s="336">
        <v>14</v>
      </c>
      <c r="F50" s="337">
        <v>0</v>
      </c>
      <c r="H50" s="334" t="s">
        <v>160</v>
      </c>
      <c r="J50" s="335">
        <v>6005</v>
      </c>
      <c r="K50" s="336">
        <v>1.23</v>
      </c>
    </row>
    <row r="51" spans="2:11">
      <c r="B51" s="334" t="s">
        <v>0</v>
      </c>
      <c r="D51" s="354" t="s">
        <v>167</v>
      </c>
      <c r="E51" s="336">
        <v>2.5</v>
      </c>
      <c r="F51" s="337">
        <v>0</v>
      </c>
      <c r="H51" s="341" t="s">
        <v>151</v>
      </c>
      <c r="I51" s="342"/>
      <c r="J51" s="343"/>
      <c r="K51" s="344"/>
    </row>
    <row r="52" spans="2:11" ht="13.8">
      <c r="B52" s="334" t="s">
        <v>1</v>
      </c>
      <c r="D52" s="354" t="s">
        <v>167</v>
      </c>
      <c r="E52" s="336">
        <v>3.12</v>
      </c>
      <c r="F52" s="337">
        <v>0</v>
      </c>
      <c r="H52" s="329">
        <v>7</v>
      </c>
      <c r="I52" s="330"/>
      <c r="J52" s="331"/>
      <c r="K52" s="332">
        <f>SUM(K53:K65)</f>
        <v>1017.5400000000001</v>
      </c>
    </row>
    <row r="53" spans="2:11" ht="13.8">
      <c r="B53" s="334" t="s">
        <v>168</v>
      </c>
      <c r="D53" s="335">
        <v>6381</v>
      </c>
      <c r="E53" s="336">
        <v>10</v>
      </c>
      <c r="F53" s="337">
        <v>0</v>
      </c>
      <c r="H53" s="338" t="s">
        <v>169</v>
      </c>
      <c r="J53" s="335"/>
      <c r="K53" s="336"/>
    </row>
    <row r="54" spans="2:11">
      <c r="B54" s="334" t="s">
        <v>170</v>
      </c>
      <c r="D54" s="335">
        <v>6381</v>
      </c>
      <c r="E54" s="336">
        <v>10</v>
      </c>
      <c r="F54" s="337">
        <v>0</v>
      </c>
      <c r="H54" s="334" t="s">
        <v>171</v>
      </c>
      <c r="J54" s="335">
        <v>6002</v>
      </c>
      <c r="K54" s="336">
        <v>508.67</v>
      </c>
    </row>
    <row r="55" spans="2:11" ht="13.8">
      <c r="B55" s="334" t="s">
        <v>173</v>
      </c>
      <c r="D55" s="335">
        <v>6013</v>
      </c>
      <c r="E55" s="336">
        <v>8.4</v>
      </c>
      <c r="F55" s="337">
        <v>0</v>
      </c>
      <c r="H55" s="338" t="s">
        <v>156</v>
      </c>
      <c r="J55" s="335"/>
      <c r="K55" s="336"/>
    </row>
    <row r="56" spans="2:11">
      <c r="B56" s="334" t="s">
        <v>84</v>
      </c>
      <c r="D56" s="335">
        <v>6690</v>
      </c>
      <c r="E56" s="336">
        <v>33.299999999999997</v>
      </c>
      <c r="F56" s="337">
        <v>0</v>
      </c>
      <c r="H56" s="334" t="s">
        <v>171</v>
      </c>
      <c r="J56" s="335" t="s">
        <v>210</v>
      </c>
      <c r="K56" s="336">
        <v>470.47</v>
      </c>
    </row>
    <row r="57" spans="2:11" ht="13.8">
      <c r="B57" s="334" t="s">
        <v>85</v>
      </c>
      <c r="D57" s="335">
        <v>6690</v>
      </c>
      <c r="E57" s="336">
        <v>49.95</v>
      </c>
      <c r="F57" s="337">
        <v>0</v>
      </c>
      <c r="H57" s="338" t="s">
        <v>159</v>
      </c>
      <c r="J57" s="335"/>
      <c r="K57" s="336"/>
    </row>
    <row r="58" spans="2:11">
      <c r="B58" s="334" t="s">
        <v>86</v>
      </c>
      <c r="D58" s="335">
        <v>6690</v>
      </c>
      <c r="E58" s="336">
        <v>69.48</v>
      </c>
      <c r="F58" s="337">
        <v>1</v>
      </c>
      <c r="H58" s="334" t="s">
        <v>174</v>
      </c>
      <c r="J58" s="335">
        <v>6002</v>
      </c>
      <c r="K58" s="336">
        <v>2.86</v>
      </c>
    </row>
    <row r="59" spans="2:11">
      <c r="B59" s="334" t="s">
        <v>211</v>
      </c>
      <c r="D59" s="335">
        <v>6386</v>
      </c>
      <c r="E59" s="336">
        <v>4.0999999999999996</v>
      </c>
      <c r="F59" s="337">
        <v>7</v>
      </c>
      <c r="H59" s="334" t="s">
        <v>175</v>
      </c>
      <c r="J59" s="335">
        <v>6024</v>
      </c>
      <c r="K59" s="336">
        <v>24.65</v>
      </c>
    </row>
    <row r="60" spans="2:11">
      <c r="B60" s="334" t="s">
        <v>87</v>
      </c>
      <c r="D60" s="335">
        <v>6860</v>
      </c>
      <c r="E60" s="336">
        <v>28.56</v>
      </c>
      <c r="F60" s="337">
        <v>7</v>
      </c>
      <c r="H60" s="334" t="s">
        <v>93</v>
      </c>
      <c r="J60" s="335">
        <v>6002</v>
      </c>
      <c r="K60" s="336">
        <v>0.64</v>
      </c>
    </row>
    <row r="61" spans="2:11">
      <c r="B61" s="334" t="s">
        <v>212</v>
      </c>
      <c r="D61" s="335">
        <v>6013</v>
      </c>
      <c r="E61" s="336">
        <v>8.58</v>
      </c>
      <c r="F61" s="337">
        <v>7</v>
      </c>
      <c r="H61" s="334" t="s">
        <v>178</v>
      </c>
      <c r="J61" s="335">
        <v>6002</v>
      </c>
      <c r="K61" s="336">
        <v>0.93</v>
      </c>
    </row>
    <row r="62" spans="2:11">
      <c r="B62" s="334" t="s">
        <v>213</v>
      </c>
      <c r="D62" s="335">
        <v>6760</v>
      </c>
      <c r="E62" s="336">
        <v>26</v>
      </c>
      <c r="F62" s="337">
        <v>7</v>
      </c>
      <c r="H62" s="334" t="s">
        <v>179</v>
      </c>
      <c r="J62" s="335">
        <v>6018</v>
      </c>
      <c r="K62" s="336">
        <v>1.22</v>
      </c>
    </row>
    <row r="63" spans="2:11">
      <c r="B63" s="334" t="s">
        <v>214</v>
      </c>
      <c r="D63" s="335">
        <v>6760</v>
      </c>
      <c r="E63" s="336">
        <v>6</v>
      </c>
      <c r="F63" s="337">
        <v>7</v>
      </c>
      <c r="H63" s="334" t="s">
        <v>160</v>
      </c>
      <c r="J63" s="335">
        <v>6002</v>
      </c>
      <c r="K63" s="336">
        <v>7.16</v>
      </c>
    </row>
    <row r="64" spans="2:11">
      <c r="B64" s="334" t="s">
        <v>215</v>
      </c>
      <c r="D64" s="335">
        <v>6760</v>
      </c>
      <c r="E64" s="336">
        <v>12.3</v>
      </c>
      <c r="F64" s="337">
        <v>8</v>
      </c>
      <c r="H64" s="334" t="s">
        <v>181</v>
      </c>
      <c r="J64" s="335">
        <v>6002</v>
      </c>
      <c r="K64" s="336">
        <v>0.94</v>
      </c>
    </row>
    <row r="65" spans="2:11">
      <c r="B65" s="334" t="s">
        <v>216</v>
      </c>
      <c r="D65" s="335">
        <v>6386</v>
      </c>
      <c r="E65" s="336">
        <v>4.6429999999999998</v>
      </c>
      <c r="F65" s="337">
        <v>12</v>
      </c>
      <c r="H65" s="341" t="s">
        <v>151</v>
      </c>
      <c r="I65" s="342"/>
      <c r="J65" s="343"/>
      <c r="K65" s="344"/>
    </row>
    <row r="66" spans="2:11" ht="13.8">
      <c r="B66" s="351" t="s">
        <v>151</v>
      </c>
      <c r="C66" s="342"/>
      <c r="D66" s="343"/>
      <c r="E66" s="344"/>
      <c r="F66" s="353"/>
      <c r="H66" s="345">
        <v>8</v>
      </c>
      <c r="I66" s="346"/>
      <c r="J66" s="347"/>
      <c r="K66" s="348">
        <f>SUM(K67:K69)</f>
        <v>1.6</v>
      </c>
    </row>
    <row r="67" spans="2:11" ht="13.8">
      <c r="B67" s="329">
        <v>5</v>
      </c>
      <c r="C67" s="330"/>
      <c r="D67" s="331"/>
      <c r="E67" s="332">
        <f>SUM(E68:E79)</f>
        <v>278.7</v>
      </c>
      <c r="F67" s="333"/>
      <c r="H67" s="338" t="s">
        <v>169</v>
      </c>
      <c r="J67" s="335"/>
      <c r="K67" s="336"/>
    </row>
    <row r="68" spans="2:11">
      <c r="B68" s="334" t="s">
        <v>176</v>
      </c>
      <c r="D68" s="335">
        <v>6010</v>
      </c>
      <c r="E68" s="336">
        <v>5.35</v>
      </c>
      <c r="F68" s="337">
        <v>0</v>
      </c>
      <c r="H68" s="334" t="s">
        <v>186</v>
      </c>
      <c r="J68" s="335">
        <v>6100</v>
      </c>
      <c r="K68" s="336">
        <v>1.6</v>
      </c>
    </row>
    <row r="69" spans="2:11">
      <c r="B69" s="334" t="s">
        <v>177</v>
      </c>
      <c r="D69" s="335">
        <v>6010</v>
      </c>
      <c r="E69" s="336">
        <v>5.05</v>
      </c>
      <c r="F69" s="337">
        <v>0</v>
      </c>
      <c r="H69" s="341" t="s">
        <v>151</v>
      </c>
      <c r="I69" s="342"/>
      <c r="J69" s="343"/>
      <c r="K69" s="344"/>
    </row>
    <row r="70" spans="2:11" ht="13.8">
      <c r="B70" s="334" t="s">
        <v>5</v>
      </c>
      <c r="D70" s="354" t="s">
        <v>167</v>
      </c>
      <c r="E70" s="336">
        <v>6.6</v>
      </c>
      <c r="F70" s="337">
        <v>0</v>
      </c>
      <c r="H70" s="329">
        <v>9</v>
      </c>
      <c r="I70" s="330"/>
      <c r="J70" s="331"/>
      <c r="K70" s="332">
        <f>SUM(K71:K76)</f>
        <v>171.71699999999998</v>
      </c>
    </row>
    <row r="71" spans="2:11" ht="13.8">
      <c r="B71" s="334" t="s">
        <v>35</v>
      </c>
      <c r="D71" s="354" t="s">
        <v>167</v>
      </c>
      <c r="E71" s="336">
        <v>4.5</v>
      </c>
      <c r="F71" s="337">
        <v>0</v>
      </c>
      <c r="H71" s="338" t="s">
        <v>169</v>
      </c>
      <c r="J71" s="335"/>
      <c r="K71" s="336"/>
    </row>
    <row r="72" spans="2:11">
      <c r="B72" s="334" t="s">
        <v>180</v>
      </c>
      <c r="D72" s="354" t="s">
        <v>167</v>
      </c>
      <c r="E72" s="336">
        <v>2.4</v>
      </c>
      <c r="F72" s="337">
        <v>0</v>
      </c>
      <c r="H72" s="334" t="s">
        <v>30</v>
      </c>
      <c r="J72" s="335">
        <v>6059</v>
      </c>
      <c r="K72" s="336">
        <v>162.22999999999999</v>
      </c>
    </row>
    <row r="73" spans="2:11" ht="13.8">
      <c r="B73" s="334" t="s">
        <v>182</v>
      </c>
      <c r="D73" s="335">
        <v>6430</v>
      </c>
      <c r="E73" s="336">
        <v>100</v>
      </c>
      <c r="F73" s="337">
        <v>0</v>
      </c>
      <c r="H73" s="338" t="s">
        <v>159</v>
      </c>
      <c r="J73" s="335"/>
      <c r="K73" s="336"/>
    </row>
    <row r="74" spans="2:11">
      <c r="B74" s="334" t="s">
        <v>183</v>
      </c>
      <c r="D74" s="335">
        <v>6430</v>
      </c>
      <c r="E74" s="336">
        <v>17.5</v>
      </c>
      <c r="F74" s="337">
        <v>0</v>
      </c>
      <c r="H74" s="334" t="s">
        <v>189</v>
      </c>
      <c r="J74" s="335">
        <v>6170</v>
      </c>
      <c r="K74" s="336">
        <v>8.5</v>
      </c>
    </row>
    <row r="75" spans="2:11">
      <c r="B75" s="334" t="s">
        <v>184</v>
      </c>
      <c r="D75" s="335">
        <v>6430</v>
      </c>
      <c r="E75" s="336">
        <v>62.5</v>
      </c>
      <c r="F75" s="337">
        <v>0</v>
      </c>
      <c r="H75" s="334" t="s">
        <v>160</v>
      </c>
      <c r="J75" s="335">
        <v>6059</v>
      </c>
      <c r="K75" s="336">
        <v>0.98699999999999999</v>
      </c>
    </row>
    <row r="76" spans="2:11">
      <c r="B76" s="334" t="s">
        <v>185</v>
      </c>
      <c r="D76" s="335">
        <v>6430</v>
      </c>
      <c r="E76" s="336">
        <v>40</v>
      </c>
      <c r="F76" s="337">
        <v>0</v>
      </c>
      <c r="H76" s="341" t="s">
        <v>151</v>
      </c>
      <c r="I76" s="342"/>
      <c r="J76" s="343"/>
      <c r="K76" s="344"/>
    </row>
    <row r="77" spans="2:11" ht="13.8">
      <c r="B77" s="334" t="s">
        <v>217</v>
      </c>
      <c r="D77" s="335">
        <v>6008</v>
      </c>
      <c r="E77" s="336">
        <v>25.8</v>
      </c>
      <c r="F77" s="337">
        <v>1</v>
      </c>
      <c r="H77" s="345">
        <v>10</v>
      </c>
      <c r="I77" s="346"/>
      <c r="J77" s="347"/>
      <c r="K77" s="348">
        <f>SUM(K78:K81)</f>
        <v>40.700000000000003</v>
      </c>
    </row>
    <row r="78" spans="2:11" ht="13.8">
      <c r="B78" s="334" t="s">
        <v>218</v>
      </c>
      <c r="D78" s="335">
        <v>6010</v>
      </c>
      <c r="E78" s="336">
        <v>9</v>
      </c>
      <c r="F78" s="337">
        <v>8</v>
      </c>
      <c r="H78" s="338" t="s">
        <v>191</v>
      </c>
      <c r="J78" s="335"/>
      <c r="K78" s="336"/>
    </row>
    <row r="79" spans="2:11">
      <c r="B79" s="334" t="s">
        <v>151</v>
      </c>
      <c r="D79" s="335"/>
      <c r="E79" s="336"/>
      <c r="F79" s="337"/>
      <c r="H79" s="334" t="s">
        <v>194</v>
      </c>
      <c r="J79" s="335">
        <v>6340</v>
      </c>
      <c r="K79" s="336">
        <v>27.77</v>
      </c>
    </row>
    <row r="80" spans="2:11" ht="13.8">
      <c r="B80" s="345">
        <v>6</v>
      </c>
      <c r="C80" s="346"/>
      <c r="D80" s="347"/>
      <c r="E80" s="348">
        <f>SUM(E81:E84)</f>
        <v>105.8</v>
      </c>
      <c r="F80" s="349"/>
      <c r="H80" s="334" t="s">
        <v>196</v>
      </c>
      <c r="J80" s="335">
        <v>6261</v>
      </c>
      <c r="K80" s="336">
        <v>12.93</v>
      </c>
    </row>
    <row r="81" spans="2:11">
      <c r="B81" s="334" t="s">
        <v>187</v>
      </c>
      <c r="D81" s="335">
        <v>6005</v>
      </c>
      <c r="E81" s="336">
        <v>96</v>
      </c>
      <c r="F81" s="337">
        <v>0</v>
      </c>
      <c r="H81" s="341" t="s">
        <v>151</v>
      </c>
      <c r="I81" s="342"/>
      <c r="J81" s="343"/>
      <c r="K81" s="344"/>
    </row>
    <row r="82" spans="2:11">
      <c r="B82" s="334" t="s">
        <v>36</v>
      </c>
      <c r="D82" s="354" t="s">
        <v>167</v>
      </c>
      <c r="E82" s="336">
        <v>5.5</v>
      </c>
      <c r="F82" s="337">
        <v>0</v>
      </c>
    </row>
    <row r="83" spans="2:11">
      <c r="B83" s="334" t="s">
        <v>89</v>
      </c>
      <c r="D83" s="354" t="s">
        <v>167</v>
      </c>
      <c r="E83" s="336">
        <v>4.3</v>
      </c>
      <c r="F83" s="337">
        <v>0</v>
      </c>
    </row>
    <row r="84" spans="2:11">
      <c r="B84" s="355" t="s">
        <v>151</v>
      </c>
      <c r="C84" s="342"/>
      <c r="D84" s="343"/>
      <c r="E84" s="344"/>
      <c r="F84" s="353"/>
    </row>
    <row r="85" spans="2:11" ht="13.8">
      <c r="B85" s="329">
        <v>7</v>
      </c>
      <c r="C85" s="330"/>
      <c r="D85" s="331"/>
      <c r="E85" s="332">
        <f>SUM(E86:E89)</f>
        <v>188.76</v>
      </c>
      <c r="F85" s="333"/>
    </row>
    <row r="86" spans="2:11">
      <c r="B86" s="334" t="s">
        <v>37</v>
      </c>
      <c r="D86" s="335">
        <v>6171</v>
      </c>
      <c r="E86" s="336">
        <v>54</v>
      </c>
      <c r="F86" s="337">
        <v>0</v>
      </c>
    </row>
    <row r="87" spans="2:11">
      <c r="B87" s="334" t="s">
        <v>192</v>
      </c>
      <c r="D87" s="335" t="s">
        <v>219</v>
      </c>
      <c r="E87" s="336">
        <v>56</v>
      </c>
      <c r="F87" s="337">
        <v>0</v>
      </c>
    </row>
    <row r="88" spans="2:11">
      <c r="B88" s="334" t="s">
        <v>195</v>
      </c>
      <c r="D88" s="335" t="s">
        <v>219</v>
      </c>
      <c r="E88" s="336">
        <v>78.760000000000005</v>
      </c>
      <c r="F88" s="337">
        <v>0</v>
      </c>
    </row>
    <row r="89" spans="2:11">
      <c r="B89" s="356" t="s">
        <v>151</v>
      </c>
      <c r="C89" s="357"/>
      <c r="D89" s="358"/>
      <c r="E89" s="359"/>
      <c r="F89" s="360"/>
    </row>
    <row r="90" spans="2:11" ht="13.8">
      <c r="B90" s="345">
        <v>8</v>
      </c>
      <c r="C90" s="346"/>
      <c r="D90" s="347"/>
      <c r="E90" s="348">
        <f>SUM(E91:E92)</f>
        <v>260</v>
      </c>
      <c r="F90" s="349"/>
    </row>
    <row r="91" spans="2:11">
      <c r="B91" s="334" t="s">
        <v>4</v>
      </c>
      <c r="D91" s="335">
        <v>6100</v>
      </c>
      <c r="E91" s="336">
        <v>260</v>
      </c>
      <c r="F91" s="337">
        <v>0</v>
      </c>
    </row>
    <row r="92" spans="2:11">
      <c r="B92" s="361" t="s">
        <v>151</v>
      </c>
      <c r="C92" s="342"/>
      <c r="D92" s="343"/>
      <c r="E92" s="344"/>
      <c r="F92" s="353"/>
    </row>
    <row r="93" spans="2:11" ht="13.8">
      <c r="B93" s="329">
        <v>9</v>
      </c>
      <c r="C93" s="362"/>
      <c r="D93" s="363"/>
      <c r="E93" s="332">
        <f>SUM(E94:E99)</f>
        <v>567.4</v>
      </c>
      <c r="F93" s="333"/>
    </row>
    <row r="94" spans="2:11">
      <c r="B94" s="334" t="s">
        <v>197</v>
      </c>
      <c r="D94" s="335">
        <v>6059</v>
      </c>
      <c r="E94" s="336">
        <v>160</v>
      </c>
      <c r="F94" s="337">
        <v>0</v>
      </c>
    </row>
    <row r="95" spans="2:11">
      <c r="B95" s="334" t="s">
        <v>198</v>
      </c>
      <c r="D95" s="335">
        <v>6060</v>
      </c>
      <c r="E95" s="336">
        <v>120</v>
      </c>
      <c r="F95" s="337">
        <v>0</v>
      </c>
    </row>
    <row r="96" spans="2:11">
      <c r="B96" s="334" t="s">
        <v>199</v>
      </c>
      <c r="D96" s="335">
        <v>6270</v>
      </c>
      <c r="E96" s="336">
        <v>87</v>
      </c>
      <c r="F96" s="337">
        <v>0</v>
      </c>
    </row>
    <row r="97" spans="2:11">
      <c r="B97" s="334" t="s">
        <v>200</v>
      </c>
      <c r="D97" s="335">
        <v>6290</v>
      </c>
      <c r="E97" s="336">
        <v>150</v>
      </c>
      <c r="F97" s="337">
        <v>0</v>
      </c>
    </row>
    <row r="98" spans="2:11">
      <c r="B98" s="334" t="s">
        <v>90</v>
      </c>
      <c r="D98" s="335">
        <v>6170</v>
      </c>
      <c r="E98" s="336">
        <v>50.4</v>
      </c>
      <c r="F98" s="337">
        <v>0</v>
      </c>
    </row>
    <row r="99" spans="2:11">
      <c r="B99" s="356" t="s">
        <v>151</v>
      </c>
      <c r="D99" s="335"/>
      <c r="E99" s="336"/>
      <c r="F99" s="337"/>
    </row>
    <row r="100" spans="2:11" ht="13.8">
      <c r="B100" s="345">
        <v>10</v>
      </c>
      <c r="C100" s="364"/>
      <c r="D100" s="365"/>
      <c r="E100" s="348">
        <f>SUM(E101:E103)</f>
        <v>254.02999999999997</v>
      </c>
      <c r="F100" s="349"/>
    </row>
    <row r="101" spans="2:11">
      <c r="B101" s="334" t="s">
        <v>196</v>
      </c>
      <c r="D101" s="335">
        <v>6263</v>
      </c>
      <c r="E101" s="336">
        <v>222.17</v>
      </c>
      <c r="F101" s="337">
        <v>0</v>
      </c>
    </row>
    <row r="102" spans="2:11">
      <c r="B102" s="334" t="s">
        <v>15</v>
      </c>
      <c r="D102" s="335">
        <v>6261</v>
      </c>
      <c r="E102" s="336">
        <v>31.86</v>
      </c>
      <c r="F102" s="337">
        <v>2</v>
      </c>
    </row>
    <row r="103" spans="2:11">
      <c r="B103" s="355" t="s">
        <v>151</v>
      </c>
      <c r="C103" s="342"/>
      <c r="D103" s="343"/>
      <c r="E103" s="344"/>
      <c r="F103" s="353"/>
    </row>
    <row r="104" spans="2:11">
      <c r="K104" s="366"/>
    </row>
    <row r="105" spans="2:11">
      <c r="K105" s="366"/>
    </row>
    <row r="106" spans="2:11">
      <c r="K106" s="366"/>
    </row>
    <row r="107" spans="2:11">
      <c r="K107" s="366"/>
    </row>
    <row r="108" spans="2:11">
      <c r="K108" s="366"/>
    </row>
    <row r="109" spans="2:11">
      <c r="K109" s="366"/>
    </row>
    <row r="110" spans="2:11">
      <c r="K110" s="366"/>
    </row>
    <row r="111" spans="2:11">
      <c r="K111" s="366"/>
    </row>
    <row r="112" spans="2:11">
      <c r="K112" s="366"/>
    </row>
    <row r="113" spans="11:11">
      <c r="K113" s="366"/>
    </row>
    <row r="114" spans="11:11">
      <c r="K114" s="366"/>
    </row>
    <row r="115" spans="11:11">
      <c r="K115" s="366"/>
    </row>
    <row r="116" spans="11:11">
      <c r="K116" s="366"/>
    </row>
    <row r="117" spans="11:11">
      <c r="K117" s="366"/>
    </row>
    <row r="118" spans="11:11">
      <c r="K118" s="366"/>
    </row>
    <row r="119" spans="11:11">
      <c r="K119" s="366"/>
    </row>
    <row r="120" spans="11:11">
      <c r="K120" s="366"/>
    </row>
    <row r="121" spans="11:11">
      <c r="K121" s="366"/>
    </row>
    <row r="122" spans="11:11">
      <c r="K122" s="366"/>
    </row>
    <row r="123" spans="11:11">
      <c r="K123" s="366"/>
    </row>
    <row r="124" spans="11:11">
      <c r="K124" s="366"/>
    </row>
    <row r="125" spans="11:11">
      <c r="K125" s="366"/>
    </row>
    <row r="126" spans="11:11">
      <c r="K126" s="366"/>
    </row>
    <row r="127" spans="11:11">
      <c r="K127" s="366"/>
    </row>
    <row r="128" spans="11:11">
      <c r="K128" s="366"/>
    </row>
    <row r="129" spans="11:11">
      <c r="K129" s="366"/>
    </row>
    <row r="130" spans="11:11">
      <c r="K130" s="366"/>
    </row>
    <row r="131" spans="11:11">
      <c r="K131" s="366"/>
    </row>
    <row r="132" spans="11:11">
      <c r="K132" s="366"/>
    </row>
    <row r="133" spans="11:11">
      <c r="K133" s="366"/>
    </row>
    <row r="134" spans="11:11">
      <c r="K134" s="366"/>
    </row>
    <row r="135" spans="11:11">
      <c r="K135" s="366"/>
    </row>
    <row r="136" spans="11:11">
      <c r="K136" s="366"/>
    </row>
    <row r="137" spans="11:11">
      <c r="K137" s="366"/>
    </row>
    <row r="138" spans="11:11">
      <c r="K138" s="366"/>
    </row>
    <row r="139" spans="11:11">
      <c r="K139" s="366"/>
    </row>
    <row r="140" spans="11:11">
      <c r="K140" s="366"/>
    </row>
    <row r="141" spans="11:11">
      <c r="K141" s="366"/>
    </row>
    <row r="142" spans="11:11">
      <c r="K142" s="366"/>
    </row>
    <row r="143" spans="11:11">
      <c r="K143" s="366"/>
    </row>
    <row r="144" spans="11:11">
      <c r="K144" s="366"/>
    </row>
    <row r="145" spans="11:11">
      <c r="K145" s="366"/>
    </row>
    <row r="146" spans="11:11">
      <c r="K146" s="366"/>
    </row>
    <row r="147" spans="11:11">
      <c r="K147" s="366"/>
    </row>
    <row r="148" spans="11:11">
      <c r="K148" s="366"/>
    </row>
    <row r="149" spans="11:11">
      <c r="K149" s="366"/>
    </row>
    <row r="150" spans="11:11">
      <c r="K150" s="366"/>
    </row>
    <row r="151" spans="11:11">
      <c r="K151" s="366"/>
    </row>
    <row r="152" spans="11:11">
      <c r="K152" s="366"/>
    </row>
    <row r="153" spans="11:11">
      <c r="K153" s="366"/>
    </row>
    <row r="154" spans="11:11">
      <c r="K154" s="366"/>
    </row>
    <row r="155" spans="11:11">
      <c r="K155" s="366"/>
    </row>
    <row r="156" spans="11:11">
      <c r="K156" s="366"/>
    </row>
    <row r="157" spans="11:11">
      <c r="K157" s="366"/>
    </row>
    <row r="158" spans="11:11">
      <c r="K158" s="366"/>
    </row>
    <row r="159" spans="11:11">
      <c r="K159" s="366"/>
    </row>
    <row r="160" spans="11:11">
      <c r="K160" s="366"/>
    </row>
    <row r="161" spans="11:11">
      <c r="K161" s="366"/>
    </row>
    <row r="162" spans="11:11">
      <c r="K162" s="366"/>
    </row>
    <row r="163" spans="11:11">
      <c r="K163" s="366"/>
    </row>
    <row r="164" spans="11:11">
      <c r="K164" s="366"/>
    </row>
    <row r="165" spans="11:11">
      <c r="K165" s="366"/>
    </row>
    <row r="166" spans="11:11">
      <c r="K166" s="366"/>
    </row>
    <row r="167" spans="11:11">
      <c r="K167" s="366"/>
    </row>
    <row r="168" spans="11:11">
      <c r="K168" s="366"/>
    </row>
    <row r="169" spans="11:11">
      <c r="K169" s="366"/>
    </row>
    <row r="170" spans="11:11">
      <c r="K170" s="366"/>
    </row>
    <row r="171" spans="11:11">
      <c r="K171" s="366"/>
    </row>
    <row r="172" spans="11:11">
      <c r="K172" s="366"/>
    </row>
    <row r="173" spans="11:11">
      <c r="K173" s="366"/>
    </row>
    <row r="174" spans="11:11">
      <c r="K174" s="366"/>
    </row>
    <row r="175" spans="11:11">
      <c r="K175" s="366"/>
    </row>
    <row r="176" spans="11:11">
      <c r="K176" s="366"/>
    </row>
    <row r="177" spans="5:11">
      <c r="K177" s="366"/>
    </row>
    <row r="178" spans="5:11">
      <c r="K178" s="366"/>
    </row>
    <row r="179" spans="5:11">
      <c r="K179" s="366"/>
    </row>
    <row r="180" spans="5:11">
      <c r="K180" s="366"/>
    </row>
    <row r="181" spans="5:11">
      <c r="K181" s="366"/>
    </row>
    <row r="182" spans="5:11">
      <c r="K182" s="366"/>
    </row>
    <row r="183" spans="5:11">
      <c r="K183" s="366"/>
    </row>
    <row r="184" spans="5:11">
      <c r="K184" s="366"/>
    </row>
    <row r="185" spans="5:11">
      <c r="K185" s="366"/>
    </row>
    <row r="186" spans="5:11">
      <c r="K186" s="366"/>
    </row>
    <row r="187" spans="5:11">
      <c r="K187" s="366"/>
    </row>
    <row r="189" spans="5:11">
      <c r="E189" s="366"/>
    </row>
    <row r="190" spans="5:11">
      <c r="E190" s="366"/>
    </row>
    <row r="191" spans="5:11">
      <c r="E191" s="366"/>
    </row>
    <row r="192" spans="5:11">
      <c r="E192" s="366"/>
    </row>
    <row r="193" spans="5:11">
      <c r="E193" s="366"/>
    </row>
    <row r="194" spans="5:11">
      <c r="E194" s="366"/>
    </row>
    <row r="195" spans="5:11">
      <c r="E195" s="366"/>
    </row>
    <row r="196" spans="5:11">
      <c r="E196" s="366"/>
    </row>
    <row r="197" spans="5:11">
      <c r="E197" s="366"/>
    </row>
    <row r="198" spans="5:11">
      <c r="E198" s="366"/>
    </row>
    <row r="199" spans="5:11">
      <c r="E199" s="366"/>
    </row>
    <row r="200" spans="5:11">
      <c r="E200" s="366"/>
    </row>
    <row r="201" spans="5:11">
      <c r="E201" s="366"/>
    </row>
    <row r="202" spans="5:11">
      <c r="E202" s="366"/>
    </row>
    <row r="203" spans="5:11">
      <c r="E203" s="366"/>
    </row>
    <row r="204" spans="5:11">
      <c r="E204" s="366"/>
    </row>
    <row r="205" spans="5:11">
      <c r="E205" s="366"/>
    </row>
    <row r="206" spans="5:11">
      <c r="E206" s="366"/>
    </row>
    <row r="207" spans="5:11">
      <c r="E207" s="366"/>
      <c r="K207" s="366"/>
    </row>
    <row r="208" spans="5:11">
      <c r="E208" s="366"/>
      <c r="K208" s="366"/>
    </row>
    <row r="209" spans="5:11">
      <c r="E209" s="366"/>
      <c r="K209" s="366"/>
    </row>
    <row r="210" spans="5:11">
      <c r="E210" s="366"/>
      <c r="K210" s="366"/>
    </row>
    <row r="211" spans="5:11">
      <c r="E211" s="366"/>
      <c r="K211" s="366"/>
    </row>
    <row r="212" spans="5:11">
      <c r="E212" s="366"/>
      <c r="K212" s="366"/>
    </row>
    <row r="213" spans="5:11">
      <c r="E213" s="366"/>
      <c r="K213" s="366"/>
    </row>
    <row r="214" spans="5:11">
      <c r="E214" s="366"/>
      <c r="K214" s="366"/>
    </row>
    <row r="215" spans="5:11">
      <c r="E215" s="366"/>
      <c r="K215" s="366"/>
    </row>
    <row r="216" spans="5:11">
      <c r="E216" s="366"/>
      <c r="K216" s="366"/>
    </row>
    <row r="217" spans="5:11">
      <c r="E217" s="366"/>
      <c r="K217" s="366"/>
    </row>
    <row r="218" spans="5:11">
      <c r="E218" s="366"/>
      <c r="K218" s="366"/>
    </row>
    <row r="219" spans="5:11">
      <c r="E219" s="366"/>
      <c r="K219" s="366"/>
    </row>
    <row r="220" spans="5:11">
      <c r="E220" s="366"/>
      <c r="K220" s="366"/>
    </row>
    <row r="221" spans="5:11">
      <c r="E221" s="366"/>
      <c r="K221" s="366"/>
    </row>
    <row r="222" spans="5:11">
      <c r="E222" s="366"/>
      <c r="K222" s="366"/>
    </row>
    <row r="223" spans="5:11">
      <c r="E223" s="366"/>
      <c r="K223" s="366"/>
    </row>
    <row r="224" spans="5:11">
      <c r="E224" s="366"/>
      <c r="K224" s="366"/>
    </row>
    <row r="225" spans="5:11">
      <c r="E225" s="366"/>
      <c r="K225" s="366"/>
    </row>
    <row r="226" spans="5:11">
      <c r="E226" s="366"/>
      <c r="K226" s="366"/>
    </row>
    <row r="227" spans="5:11">
      <c r="E227" s="366"/>
      <c r="K227" s="366"/>
    </row>
    <row r="228" spans="5:11">
      <c r="E228" s="366"/>
      <c r="K228" s="366"/>
    </row>
    <row r="229" spans="5:11">
      <c r="E229" s="366"/>
      <c r="K229" s="366"/>
    </row>
    <row r="230" spans="5:11">
      <c r="E230" s="366"/>
      <c r="K230" s="366"/>
    </row>
    <row r="231" spans="5:11">
      <c r="E231" s="366"/>
      <c r="K231" s="366"/>
    </row>
    <row r="232" spans="5:11">
      <c r="E232" s="366"/>
      <c r="K232" s="366"/>
    </row>
    <row r="233" spans="5:11">
      <c r="E233" s="366"/>
      <c r="K233" s="366"/>
    </row>
    <row r="234" spans="5:11">
      <c r="E234" s="366"/>
      <c r="K234" s="366"/>
    </row>
    <row r="235" spans="5:11">
      <c r="E235" s="366"/>
      <c r="K235" s="366"/>
    </row>
    <row r="236" spans="5:11">
      <c r="E236" s="366"/>
      <c r="K236" s="366"/>
    </row>
    <row r="237" spans="5:11">
      <c r="E237" s="366"/>
      <c r="K237" s="366"/>
    </row>
    <row r="238" spans="5:11">
      <c r="E238" s="366"/>
      <c r="K238" s="366"/>
    </row>
    <row r="239" spans="5:11">
      <c r="E239" s="366"/>
      <c r="K239" s="366"/>
    </row>
    <row r="240" spans="5:11">
      <c r="E240" s="366"/>
      <c r="K240" s="366"/>
    </row>
    <row r="241" spans="5:11">
      <c r="E241" s="366"/>
      <c r="K241" s="366"/>
    </row>
    <row r="242" spans="5:11">
      <c r="E242" s="366"/>
      <c r="K242" s="366"/>
    </row>
    <row r="243" spans="5:11">
      <c r="E243" s="366"/>
      <c r="K243" s="366"/>
    </row>
    <row r="244" spans="5:11">
      <c r="E244" s="366"/>
      <c r="K244" s="366"/>
    </row>
    <row r="245" spans="5:11">
      <c r="E245" s="366"/>
      <c r="K245" s="366"/>
    </row>
    <row r="246" spans="5:11">
      <c r="E246" s="366"/>
      <c r="K246" s="366"/>
    </row>
    <row r="247" spans="5:11">
      <c r="E247" s="366"/>
      <c r="K247" s="366"/>
    </row>
    <row r="248" spans="5:11">
      <c r="E248" s="366"/>
      <c r="K248" s="366"/>
    </row>
    <row r="249" spans="5:11">
      <c r="E249" s="366"/>
      <c r="K249" s="366"/>
    </row>
    <row r="250" spans="5:11">
      <c r="E250" s="366"/>
      <c r="K250" s="366"/>
    </row>
    <row r="251" spans="5:11">
      <c r="E251" s="366"/>
      <c r="K251" s="366"/>
    </row>
    <row r="252" spans="5:11">
      <c r="E252" s="366"/>
      <c r="K252" s="366"/>
    </row>
    <row r="253" spans="5:11">
      <c r="E253" s="366"/>
      <c r="K253" s="366"/>
    </row>
    <row r="254" spans="5:11">
      <c r="E254" s="366"/>
      <c r="K254" s="366"/>
    </row>
    <row r="255" spans="5:11">
      <c r="E255" s="366"/>
      <c r="K255" s="366"/>
    </row>
    <row r="256" spans="5:11">
      <c r="E256" s="366"/>
      <c r="K256" s="366"/>
    </row>
    <row r="257" spans="5:11">
      <c r="E257" s="366"/>
      <c r="K257" s="366"/>
    </row>
    <row r="258" spans="5:11">
      <c r="E258" s="366"/>
      <c r="K258" s="366"/>
    </row>
    <row r="259" spans="5:11">
      <c r="E259" s="366"/>
      <c r="K259" s="366"/>
    </row>
    <row r="260" spans="5:11">
      <c r="E260" s="366"/>
      <c r="K260" s="366"/>
    </row>
    <row r="261" spans="5:11">
      <c r="E261" s="366"/>
      <c r="K261" s="366"/>
    </row>
    <row r="262" spans="5:11">
      <c r="E262" s="366"/>
      <c r="K262" s="366"/>
    </row>
    <row r="263" spans="5:11">
      <c r="E263" s="366"/>
      <c r="K263" s="366"/>
    </row>
    <row r="264" spans="5:11">
      <c r="E264" s="366"/>
      <c r="K264" s="366"/>
    </row>
    <row r="265" spans="5:11">
      <c r="E265" s="366"/>
      <c r="K265" s="366"/>
    </row>
    <row r="266" spans="5:11">
      <c r="E266" s="366"/>
      <c r="K266" s="366"/>
    </row>
    <row r="267" spans="5:11">
      <c r="E267" s="366"/>
      <c r="K267" s="366"/>
    </row>
    <row r="268" spans="5:11">
      <c r="E268" s="366"/>
      <c r="K268" s="366"/>
    </row>
    <row r="269" spans="5:11">
      <c r="E269" s="366"/>
      <c r="K269" s="366"/>
    </row>
    <row r="270" spans="5:11">
      <c r="E270" s="366"/>
      <c r="K270" s="366"/>
    </row>
    <row r="271" spans="5:11">
      <c r="E271" s="366"/>
      <c r="K271" s="366"/>
    </row>
    <row r="272" spans="5:11">
      <c r="E272" s="366"/>
      <c r="K272" s="366"/>
    </row>
    <row r="273" spans="5:11">
      <c r="E273" s="366"/>
      <c r="K273" s="366"/>
    </row>
    <row r="274" spans="5:11">
      <c r="E274" s="366"/>
      <c r="K274" s="366"/>
    </row>
    <row r="275" spans="5:11">
      <c r="E275" s="366"/>
      <c r="K275" s="366"/>
    </row>
    <row r="276" spans="5:11">
      <c r="E276" s="366"/>
      <c r="K276" s="366"/>
    </row>
    <row r="277" spans="5:11">
      <c r="E277" s="366"/>
      <c r="K277" s="366"/>
    </row>
    <row r="278" spans="5:11">
      <c r="E278" s="366"/>
      <c r="K278" s="366"/>
    </row>
    <row r="279" spans="5:11">
      <c r="E279" s="366"/>
      <c r="K279" s="366"/>
    </row>
    <row r="280" spans="5:11">
      <c r="E280" s="366"/>
      <c r="K280" s="366"/>
    </row>
    <row r="281" spans="5:11">
      <c r="E281" s="366"/>
      <c r="K281" s="366"/>
    </row>
    <row r="282" spans="5:11">
      <c r="E282" s="366"/>
      <c r="K282" s="366"/>
    </row>
  </sheetData>
  <conditionalFormatting sqref="K74:K77 K64:K65 K68:K71 K43:K47 K37:K41 K28:K29 K32:K34 E99 E41:F54 K102:K106 K94:K97 E82:F86 C14:M15 E89:F90 E79:F80 E68:F71 E73:F77 E57:F66 E26:F30 E21:F22 E33:F38 K21:K23 K50:K61">
    <cfRule type="cellIs" dxfId="101" priority="16" operator="equal">
      <formula>0</formula>
    </cfRule>
  </conditionalFormatting>
  <conditionalFormatting sqref="K75:K78 E94:F98 E91:F92 E101:F103 E81:F84 E86:F89 E68:F79 K64:K65 K43:K47 K50:K61 K28:K29 K32:K34 K37:K41 E27:F31 E21:F22 K21:K23 E34:F41 E44:F65 K68:K72">
    <cfRule type="cellIs" dxfId="100" priority="15" operator="equal">
      <formula>0</formula>
    </cfRule>
  </conditionalFormatting>
  <conditionalFormatting sqref="K77:K80 K67:K68 K71:K74 K46:K50 K53:K64 K28:K29 K21:K23 K32:K35 K38:K44">
    <cfRule type="cellIs" dxfId="99" priority="14" operator="equal">
      <formula>0</formula>
    </cfRule>
  </conditionalFormatting>
  <conditionalFormatting sqref="K78:K81 K67:K68 K46:K50 K53:K64 K71:K75">
    <cfRule type="cellIs" dxfId="98" priority="13" operator="equal">
      <formula>0</formula>
    </cfRule>
  </conditionalFormatting>
  <conditionalFormatting sqref="K74:K77 K64:K65 K68:K71 K43:K47 K37:K41 K28:K29 K32:K34 E189:E282 K207:K282 E99 E41:F54 K102:K187 K94:K97 E82:F86 C14:M15 E89:F90 E79:F80 E68:F71 E73:F77 E57:F66 E26:F30 E21:F22 E33:F38 K21:K23 K50:K61">
    <cfRule type="cellIs" dxfId="97" priority="12" operator="equal">
      <formula>0</formula>
    </cfRule>
  </conditionalFormatting>
  <conditionalFormatting sqref="K75:K78 E94:F98 E91:F92 E101:F103 E81:F84 E86:F89 E68:F79 K64:K65 K43:K47 K50:K61 K28:K29 K32:K34 K37:K41 E27:F31 E21:F22 K21:K23 E34:F41 E44:F65 K68:K72">
    <cfRule type="cellIs" dxfId="96" priority="11" operator="equal">
      <formula>0</formula>
    </cfRule>
  </conditionalFormatting>
  <conditionalFormatting sqref="K77:K80 K67:K68 K71:K74 K46:K50 K53:K64 K28:K29 K21:K23 K32:K35 K38:K44">
    <cfRule type="cellIs" dxfId="95" priority="10" operator="equal">
      <formula>0</formula>
    </cfRule>
  </conditionalFormatting>
  <conditionalFormatting sqref="K78:K81 K67:K68 K46:K50 K53:K64 K71:K75">
    <cfRule type="cellIs" dxfId="94" priority="9" operator="equal">
      <formula>0</formula>
    </cfRule>
  </conditionalFormatting>
  <conditionalFormatting sqref="K74:K77 K64:K65 K68:K71 K43:K47 K37:K41 K28:K29 K32:K34 E189:E282 K207:K282 E99 E41:F54 K102:K187 K94:K97 E82:F86 C14:M15 E89:F90 E79:F80 E68:F71 E73:F77 E57:F66 E26:F30 E21:F22 E33:F38 K21:K23 K50:K61">
    <cfRule type="cellIs" dxfId="93" priority="8" operator="equal">
      <formula>0</formula>
    </cfRule>
  </conditionalFormatting>
  <conditionalFormatting sqref="K75:K78 E94:F98 E91:F92 E101:F103 E81:F84 E86:F89 E68:F79 K64:K65 K43:K47 K50:K61 K28:K29 K32:K34 K37:K41 E27:F31 E21:F22 K21:K23 E34:F41 E44:F65 K68:K72">
    <cfRule type="cellIs" dxfId="92" priority="7" operator="equal">
      <formula>0</formula>
    </cfRule>
  </conditionalFormatting>
  <conditionalFormatting sqref="K77:K80 K67:K68 K71:K74 K46:K50 K53:K64 K28:K29 K21:K23 K32:K35 K38:K44">
    <cfRule type="cellIs" dxfId="91" priority="6" operator="equal">
      <formula>0</formula>
    </cfRule>
  </conditionalFormatting>
  <conditionalFormatting sqref="K78:K81 K67:K68 K46:K50 K53:K64 K71:K75">
    <cfRule type="cellIs" dxfId="90" priority="5" operator="equal">
      <formula>0</formula>
    </cfRule>
  </conditionalFormatting>
  <conditionalFormatting sqref="K74:K77 K64:K65 K68:K71 K43:K47 K37:K41 K28:K29 K32:K34 E99 E41:F54 K102:K103 K94:K97 E82:F86 C14:M15 E89:F90 E79:F80 E68:F71 E73:F77 E57:F66 E26:F30 E21:F22 E33:F38 K21:K23 K50:K61">
    <cfRule type="cellIs" dxfId="89" priority="4" operator="equal">
      <formula>0</formula>
    </cfRule>
  </conditionalFormatting>
  <conditionalFormatting sqref="K75:K78 E94:F98 E91:F92 E101:F103 E81:F84 E86:F89 E68:F79 K64:K65 K43:K47 K50:K61 K28:K29 K32:K34 K37:K41 E27:F31 E21:F22 K21:K23 E34:F41 E44:F65 K68:K72">
    <cfRule type="cellIs" dxfId="88" priority="3" operator="equal">
      <formula>0</formula>
    </cfRule>
  </conditionalFormatting>
  <conditionalFormatting sqref="K77:K80 K67:K68 K71:K74 K46:K50 K53:K64 K28:K29 K21:K23 K32:K35 K38:K44">
    <cfRule type="cellIs" dxfId="87" priority="2" operator="equal">
      <formula>0</formula>
    </cfRule>
  </conditionalFormatting>
  <conditionalFormatting sqref="K78:K81 K67:K68 K46:K50 K53:K64 K71:K75">
    <cfRule type="cellIs" dxfId="86" priority="1" operator="equal">
      <formula>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N281"/>
  <sheetViews>
    <sheetView showGridLines="0" workbookViewId="0">
      <selection activeCell="A11" sqref="A11:N15"/>
    </sheetView>
  </sheetViews>
  <sheetFormatPr baseColWidth="10" defaultColWidth="11.44140625" defaultRowHeight="13.2"/>
  <cols>
    <col min="1" max="1" width="11.44140625" style="277"/>
    <col min="2" max="2" width="13.44140625" style="277" customWidth="1"/>
    <col min="3" max="12" width="11.44140625" style="277"/>
    <col min="13" max="13" width="12" style="277" customWidth="1"/>
    <col min="14" max="16384" width="11.44140625" style="277"/>
  </cols>
  <sheetData>
    <row r="3" spans="2:14" ht="13.8">
      <c r="B3" s="275" t="s">
        <v>128</v>
      </c>
      <c r="C3" s="276">
        <v>1</v>
      </c>
      <c r="D3" s="276" t="s">
        <v>129</v>
      </c>
    </row>
    <row r="4" spans="2:14">
      <c r="B4" s="278"/>
      <c r="C4" s="279" t="s">
        <v>130</v>
      </c>
      <c r="D4" s="280"/>
      <c r="E4" s="281" t="s">
        <v>131</v>
      </c>
      <c r="F4" s="282"/>
      <c r="G4" s="283" t="s">
        <v>132</v>
      </c>
    </row>
    <row r="5" spans="2:14" ht="13.8">
      <c r="B5" s="284" t="s">
        <v>133</v>
      </c>
      <c r="C5" s="285">
        <v>22839.870851094805</v>
      </c>
      <c r="D5" s="286">
        <f>C5/$C$5</f>
        <v>1</v>
      </c>
      <c r="E5" s="287" t="e">
        <f>SUM(E6:E7)</f>
        <v>#VALUE!</v>
      </c>
      <c r="F5" s="286" t="e">
        <f>E5/$D$3</f>
        <v>#VALUE!</v>
      </c>
      <c r="G5" s="288" t="s">
        <v>134</v>
      </c>
      <c r="I5" s="289" t="s">
        <v>135</v>
      </c>
      <c r="J5" s="92">
        <v>0.7</v>
      </c>
      <c r="K5" s="290">
        <f>J5*C5</f>
        <v>15987.909595766363</v>
      </c>
    </row>
    <row r="6" spans="2:14">
      <c r="B6" s="291" t="s">
        <v>115</v>
      </c>
      <c r="C6" s="292">
        <f>0.85617724*C5</f>
        <v>19554.977587246802</v>
      </c>
      <c r="D6" s="293">
        <f t="shared" ref="D6:D7" si="0">C6/$C$5</f>
        <v>0.85617724000000006</v>
      </c>
      <c r="E6" s="294" t="e">
        <f>SUMIFS([21]Ram!H4:H1002,[21]Ram!D4:D1002,230,[21]Ram!G4:G1002,"S")</f>
        <v>#VALUE!</v>
      </c>
      <c r="F6" s="93" t="e">
        <f>E6/$D$3</f>
        <v>#VALUE!</v>
      </c>
      <c r="G6" s="295" t="e">
        <f>C6/E6</f>
        <v>#VALUE!</v>
      </c>
      <c r="I6" s="289" t="s">
        <v>136</v>
      </c>
      <c r="J6" s="92">
        <v>0.3</v>
      </c>
      <c r="K6" s="290">
        <f>J6*C5</f>
        <v>6851.9612553284414</v>
      </c>
    </row>
    <row r="7" spans="2:14">
      <c r="B7" s="296" t="s">
        <v>137</v>
      </c>
      <c r="C7" s="297">
        <f>0.14382276*C5</f>
        <v>3284.8932638480037</v>
      </c>
      <c r="D7" s="94">
        <f t="shared" si="0"/>
        <v>0.14382275999999999</v>
      </c>
      <c r="E7" s="298" t="e">
        <f>SUMIFS([21]Ram!H4:H1002,[21]Ram!D4:D1002,115,[21]Ram!G4:G1002,"S")</f>
        <v>#VALUE!</v>
      </c>
      <c r="F7" s="94" t="e">
        <f>E7/$D$3</f>
        <v>#VALUE!</v>
      </c>
      <c r="G7" s="299" t="e">
        <f>C7/E7</f>
        <v>#VALUE!</v>
      </c>
    </row>
    <row r="8" spans="2:14">
      <c r="B8" s="300"/>
      <c r="C8" s="300"/>
      <c r="D8" s="301"/>
      <c r="F8" s="301"/>
      <c r="I8" s="302" t="s">
        <v>233</v>
      </c>
      <c r="N8" s="303">
        <v>8243.9069590642612</v>
      </c>
    </row>
    <row r="9" spans="2:14" ht="13.8">
      <c r="B9" s="304" t="s">
        <v>138</v>
      </c>
      <c r="C9" s="285">
        <v>0</v>
      </c>
      <c r="D9" s="286">
        <v>1</v>
      </c>
      <c r="E9" s="287" t="e">
        <f>SUMIFS([21]Ram!H4:H1002,[21]Ram!D4:D1002,230,[21]Ram!G4:G1002,"SD")</f>
        <v>#VALUE!</v>
      </c>
      <c r="F9" s="286">
        <v>1</v>
      </c>
      <c r="G9" s="305">
        <f>IF(C9&gt;0,C9/E9,0)</f>
        <v>0</v>
      </c>
      <c r="H9" s="277" t="s">
        <v>139</v>
      </c>
    </row>
    <row r="11" spans="2:14" ht="15.75" customHeight="1">
      <c r="B11" s="306" t="s">
        <v>272</v>
      </c>
    </row>
    <row r="12" spans="2:14">
      <c r="B12" s="307" t="s">
        <v>140</v>
      </c>
      <c r="C12" s="308" t="s">
        <v>20</v>
      </c>
      <c r="D12" s="309" t="s">
        <v>21</v>
      </c>
      <c r="E12" s="309" t="s">
        <v>22</v>
      </c>
      <c r="F12" s="309" t="s">
        <v>23</v>
      </c>
      <c r="G12" s="309" t="s">
        <v>24</v>
      </c>
      <c r="H12" s="309" t="s">
        <v>25</v>
      </c>
      <c r="I12" s="309" t="s">
        <v>26</v>
      </c>
      <c r="J12" s="309" t="s">
        <v>27</v>
      </c>
      <c r="K12" s="309" t="s">
        <v>28</v>
      </c>
      <c r="L12" s="310" t="s">
        <v>29</v>
      </c>
      <c r="M12" s="311" t="s">
        <v>16</v>
      </c>
    </row>
    <row r="13" spans="2:14">
      <c r="B13" s="312" t="s">
        <v>141</v>
      </c>
      <c r="C13" s="313">
        <f>E19</f>
        <v>154.19999999999999</v>
      </c>
      <c r="D13" s="313">
        <f>E24</f>
        <v>537.77</v>
      </c>
      <c r="E13" s="313">
        <f>E31</f>
        <v>155.07</v>
      </c>
      <c r="F13" s="313">
        <f>E39</f>
        <v>188.73000000000002</v>
      </c>
      <c r="G13" s="313">
        <f>E55</f>
        <v>243.9</v>
      </c>
      <c r="H13" s="313">
        <f>E66</f>
        <v>105.8</v>
      </c>
      <c r="I13" s="313">
        <f>E71</f>
        <v>288.43</v>
      </c>
      <c r="J13" s="313">
        <f>E77</f>
        <v>260</v>
      </c>
      <c r="K13" s="313">
        <f>E80</f>
        <v>567.4</v>
      </c>
      <c r="L13" s="313">
        <f>E87</f>
        <v>222.17</v>
      </c>
      <c r="M13" s="314">
        <f>SUM(C13:L13)</f>
        <v>2723.4700000000003</v>
      </c>
      <c r="N13" s="315">
        <f>SUM(E19:E104)-E19-E24-E31-E39-E55-E66-E71-E77-E80-E87</f>
        <v>2723.4700000000021</v>
      </c>
    </row>
    <row r="14" spans="2:14">
      <c r="B14" s="316" t="s">
        <v>142</v>
      </c>
      <c r="C14" s="317">
        <f>K19</f>
        <v>26.09</v>
      </c>
      <c r="D14" s="317">
        <f>K24</f>
        <v>0</v>
      </c>
      <c r="E14" s="317">
        <f>K26</f>
        <v>7.0000000000000007E-2</v>
      </c>
      <c r="F14" s="317">
        <f>K30</f>
        <v>83.55</v>
      </c>
      <c r="G14" s="317">
        <f>K35</f>
        <v>163.54999999999998</v>
      </c>
      <c r="H14" s="317">
        <f>K42</f>
        <v>113.53</v>
      </c>
      <c r="I14" s="317">
        <f>K48</f>
        <v>967.75</v>
      </c>
      <c r="J14" s="317">
        <f>K62</f>
        <v>1.52</v>
      </c>
      <c r="K14" s="317">
        <f>K66</f>
        <v>162.72999999999999</v>
      </c>
      <c r="L14" s="317">
        <f>K72</f>
        <v>38.5</v>
      </c>
      <c r="M14" s="318">
        <f>SUM(C14:L14)</f>
        <v>1557.29</v>
      </c>
      <c r="N14" s="315">
        <f>SUM(K19:K104)-K19-K24-K26-K30-K35-K42-K48-K62-K66-K72</f>
        <v>1557.2899999999986</v>
      </c>
    </row>
    <row r="17" spans="2:13">
      <c r="B17" s="306" t="s">
        <v>143</v>
      </c>
      <c r="C17" s="319"/>
      <c r="D17" s="319"/>
      <c r="E17" s="319"/>
      <c r="F17" s="319"/>
      <c r="G17" s="319"/>
      <c r="H17" s="320" t="s">
        <v>144</v>
      </c>
      <c r="I17" s="319"/>
      <c r="J17" s="319"/>
      <c r="K17" s="319"/>
      <c r="L17" s="319"/>
      <c r="M17" s="319"/>
    </row>
    <row r="18" spans="2:13" ht="26.4">
      <c r="B18" s="321" t="s">
        <v>145</v>
      </c>
      <c r="C18" s="322"/>
      <c r="D18" s="323" t="s">
        <v>146</v>
      </c>
      <c r="E18" s="324" t="s">
        <v>141</v>
      </c>
      <c r="F18" s="324" t="s">
        <v>147</v>
      </c>
      <c r="H18" s="325" t="s">
        <v>145</v>
      </c>
      <c r="I18" s="326"/>
      <c r="J18" s="327" t="s">
        <v>146</v>
      </c>
      <c r="K18" s="328" t="s">
        <v>142</v>
      </c>
    </row>
    <row r="19" spans="2:13" ht="13.8">
      <c r="B19" s="329">
        <v>1</v>
      </c>
      <c r="C19" s="330"/>
      <c r="D19" s="331"/>
      <c r="E19" s="332">
        <f>SUM(E20:E23)</f>
        <v>154.19999999999999</v>
      </c>
      <c r="F19" s="333"/>
      <c r="H19" s="329">
        <v>1</v>
      </c>
      <c r="I19" s="330"/>
      <c r="J19" s="331"/>
      <c r="K19" s="332">
        <f>SUM(K20:K22)</f>
        <v>26.09</v>
      </c>
    </row>
    <row r="20" spans="2:13" ht="13.8">
      <c r="B20" s="334" t="s">
        <v>83</v>
      </c>
      <c r="D20" s="335">
        <v>6330</v>
      </c>
      <c r="E20" s="336">
        <v>88.2</v>
      </c>
      <c r="F20" s="337">
        <v>0</v>
      </c>
      <c r="H20" s="338" t="s">
        <v>91</v>
      </c>
      <c r="J20" s="335"/>
      <c r="K20" s="336"/>
    </row>
    <row r="21" spans="2:13">
      <c r="B21" s="334" t="s">
        <v>31</v>
      </c>
      <c r="D21" s="335">
        <v>6332</v>
      </c>
      <c r="E21" s="336">
        <v>56</v>
      </c>
      <c r="F21" s="337">
        <v>0</v>
      </c>
      <c r="H21" s="334" t="s">
        <v>148</v>
      </c>
      <c r="J21" s="335">
        <v>6014</v>
      </c>
      <c r="K21" s="336">
        <v>25.3</v>
      </c>
    </row>
    <row r="22" spans="2:13">
      <c r="B22" s="334" t="s">
        <v>149</v>
      </c>
      <c r="D22" s="335">
        <v>6730</v>
      </c>
      <c r="E22" s="339">
        <v>10</v>
      </c>
      <c r="F22" s="337">
        <v>9</v>
      </c>
      <c r="H22" s="334" t="s">
        <v>150</v>
      </c>
      <c r="J22" s="335">
        <v>6014</v>
      </c>
      <c r="K22" s="336">
        <v>0.79</v>
      </c>
    </row>
    <row r="23" spans="2:13">
      <c r="B23" s="340" t="s">
        <v>151</v>
      </c>
      <c r="D23" s="335"/>
      <c r="E23" s="339"/>
      <c r="F23" s="337"/>
      <c r="H23" s="341" t="s">
        <v>151</v>
      </c>
      <c r="I23" s="342"/>
      <c r="J23" s="343"/>
      <c r="K23" s="344"/>
    </row>
    <row r="24" spans="2:13" ht="13.8">
      <c r="B24" s="345">
        <v>2</v>
      </c>
      <c r="C24" s="346"/>
      <c r="D24" s="347"/>
      <c r="E24" s="348">
        <f>SUM(E25:E29)</f>
        <v>537.77</v>
      </c>
      <c r="F24" s="349"/>
      <c r="H24" s="345">
        <v>2</v>
      </c>
      <c r="I24" s="346"/>
      <c r="J24" s="347"/>
      <c r="K24" s="348">
        <f>SUM(K25)</f>
        <v>0</v>
      </c>
    </row>
    <row r="25" spans="2:13">
      <c r="B25" s="334" t="s">
        <v>32</v>
      </c>
      <c r="D25" s="335">
        <v>6096</v>
      </c>
      <c r="E25" s="336">
        <v>300</v>
      </c>
      <c r="F25" s="337">
        <v>0</v>
      </c>
      <c r="H25" s="341" t="s">
        <v>151</v>
      </c>
      <c r="I25" s="342"/>
      <c r="J25" s="343"/>
      <c r="K25" s="344"/>
    </row>
    <row r="26" spans="2:13" ht="13.8">
      <c r="B26" s="334" t="s">
        <v>33</v>
      </c>
      <c r="D26" s="335">
        <v>6178</v>
      </c>
      <c r="E26" s="336">
        <v>120</v>
      </c>
      <c r="F26" s="337">
        <v>0</v>
      </c>
      <c r="H26" s="329">
        <v>3</v>
      </c>
      <c r="I26" s="330"/>
      <c r="J26" s="331"/>
      <c r="K26" s="332">
        <f>SUM(K27:K28)</f>
        <v>7.0000000000000007E-2</v>
      </c>
    </row>
    <row r="27" spans="2:13" ht="13.8">
      <c r="B27" s="334" t="s">
        <v>76</v>
      </c>
      <c r="D27" s="335">
        <v>6360</v>
      </c>
      <c r="E27" s="336">
        <v>25.34</v>
      </c>
      <c r="F27" s="337">
        <v>0</v>
      </c>
      <c r="H27" s="338" t="s">
        <v>91</v>
      </c>
      <c r="J27" s="335"/>
      <c r="K27" s="336"/>
    </row>
    <row r="28" spans="2:13">
      <c r="B28" s="334" t="s">
        <v>77</v>
      </c>
      <c r="D28" s="335">
        <v>6363</v>
      </c>
      <c r="E28" s="336">
        <v>33.770000000000003</v>
      </c>
      <c r="F28" s="337">
        <v>0</v>
      </c>
      <c r="H28" s="334" t="s">
        <v>92</v>
      </c>
      <c r="J28" s="335">
        <v>6087</v>
      </c>
      <c r="K28" s="336">
        <v>7.0000000000000007E-2</v>
      </c>
    </row>
    <row r="29" spans="2:13">
      <c r="B29" s="334" t="s">
        <v>78</v>
      </c>
      <c r="D29" s="335">
        <v>6366</v>
      </c>
      <c r="E29" s="336">
        <v>58.66</v>
      </c>
      <c r="F29" s="337">
        <v>0</v>
      </c>
      <c r="H29" s="350" t="s">
        <v>151</v>
      </c>
      <c r="J29" s="335"/>
      <c r="K29" s="336"/>
    </row>
    <row r="30" spans="2:13" ht="13.8">
      <c r="B30" s="351" t="s">
        <v>151</v>
      </c>
      <c r="C30" s="342"/>
      <c r="D30" s="343"/>
      <c r="E30" s="352"/>
      <c r="F30" s="353"/>
      <c r="H30" s="345">
        <v>4</v>
      </c>
      <c r="I30" s="346"/>
      <c r="J30" s="347"/>
      <c r="K30" s="348">
        <f>SUM(K31:K33)</f>
        <v>83.55</v>
      </c>
    </row>
    <row r="31" spans="2:13" ht="13.8">
      <c r="B31" s="329">
        <v>3</v>
      </c>
      <c r="C31" s="330"/>
      <c r="D31" s="331"/>
      <c r="E31" s="332">
        <f>SUM(E32:E37)</f>
        <v>155.07</v>
      </c>
      <c r="F31" s="333"/>
      <c r="H31" s="338" t="s">
        <v>91</v>
      </c>
      <c r="J31" s="335"/>
      <c r="K31" s="336"/>
    </row>
    <row r="32" spans="2:13">
      <c r="B32" s="334" t="s">
        <v>152</v>
      </c>
      <c r="D32" s="335">
        <v>6088</v>
      </c>
      <c r="E32" s="336">
        <v>47.2</v>
      </c>
      <c r="F32" s="337">
        <v>0</v>
      </c>
      <c r="H32" s="334" t="s">
        <v>153</v>
      </c>
      <c r="J32" s="335">
        <v>6013</v>
      </c>
      <c r="K32" s="336">
        <v>9.34</v>
      </c>
    </row>
    <row r="33" spans="2:11">
      <c r="B33" s="334" t="s">
        <v>34</v>
      </c>
      <c r="D33" s="335">
        <v>6092</v>
      </c>
      <c r="E33" s="336">
        <v>54.76</v>
      </c>
      <c r="F33" s="337">
        <v>0</v>
      </c>
      <c r="H33" s="334" t="s">
        <v>154</v>
      </c>
      <c r="J33" s="335">
        <v>6013</v>
      </c>
      <c r="K33" s="336">
        <v>74.209999999999994</v>
      </c>
    </row>
    <row r="34" spans="2:11">
      <c r="B34" s="334" t="s">
        <v>80</v>
      </c>
      <c r="D34" s="335">
        <v>6320</v>
      </c>
      <c r="E34" s="336">
        <v>19.75</v>
      </c>
      <c r="F34" s="337">
        <v>0</v>
      </c>
      <c r="H34" s="341" t="s">
        <v>151</v>
      </c>
      <c r="I34" s="342"/>
      <c r="J34" s="343"/>
      <c r="K34" s="344"/>
    </row>
    <row r="35" spans="2:11" ht="13.8">
      <c r="B35" s="334" t="s">
        <v>79</v>
      </c>
      <c r="D35" s="335">
        <v>6630</v>
      </c>
      <c r="E35" s="336">
        <v>15.5</v>
      </c>
      <c r="F35" s="337">
        <v>0</v>
      </c>
      <c r="H35" s="329">
        <v>5</v>
      </c>
      <c r="I35" s="330"/>
      <c r="J35" s="331"/>
      <c r="K35" s="332">
        <f>SUM(K36:K40)</f>
        <v>163.54999999999998</v>
      </c>
    </row>
    <row r="36" spans="2:11" ht="13.8">
      <c r="B36" s="334" t="s">
        <v>155</v>
      </c>
      <c r="D36" s="335">
        <v>6640</v>
      </c>
      <c r="E36" s="336">
        <v>8</v>
      </c>
      <c r="F36" s="337">
        <v>0</v>
      </c>
      <c r="H36" s="338" t="s">
        <v>156</v>
      </c>
      <c r="J36" s="335"/>
      <c r="K36" s="336"/>
    </row>
    <row r="37" spans="2:11">
      <c r="B37" s="334" t="s">
        <v>157</v>
      </c>
      <c r="D37" s="335">
        <v>6310</v>
      </c>
      <c r="E37" s="336">
        <v>9.86</v>
      </c>
      <c r="F37" s="337">
        <v>0</v>
      </c>
      <c r="H37" s="334" t="s">
        <v>158</v>
      </c>
      <c r="J37" s="335">
        <v>6009</v>
      </c>
      <c r="K37" s="336">
        <v>161.6</v>
      </c>
    </row>
    <row r="38" spans="2:11" ht="13.8">
      <c r="B38" s="340" t="s">
        <v>151</v>
      </c>
      <c r="D38" s="335"/>
      <c r="E38" s="339"/>
      <c r="F38" s="337"/>
      <c r="H38" s="338" t="s">
        <v>159</v>
      </c>
      <c r="J38" s="335"/>
      <c r="K38" s="336"/>
    </row>
    <row r="39" spans="2:11" ht="13.8">
      <c r="B39" s="345">
        <v>4</v>
      </c>
      <c r="C39" s="346"/>
      <c r="D39" s="347"/>
      <c r="E39" s="348">
        <f>SUM(E40:E53)</f>
        <v>188.73000000000002</v>
      </c>
      <c r="F39" s="349"/>
      <c r="H39" s="334" t="s">
        <v>160</v>
      </c>
      <c r="J39" s="335">
        <v>6009</v>
      </c>
      <c r="K39" s="336">
        <v>1.1299999999999999</v>
      </c>
    </row>
    <row r="40" spans="2:11">
      <c r="B40" s="334" t="s">
        <v>82</v>
      </c>
      <c r="D40" s="335">
        <v>6529</v>
      </c>
      <c r="E40" s="336">
        <v>10</v>
      </c>
      <c r="F40" s="337">
        <v>0</v>
      </c>
      <c r="H40" s="334" t="s">
        <v>161</v>
      </c>
      <c r="J40" s="335">
        <v>6009</v>
      </c>
      <c r="K40" s="336">
        <v>0.82</v>
      </c>
    </row>
    <row r="41" spans="2:11">
      <c r="B41" s="334" t="s">
        <v>162</v>
      </c>
      <c r="D41" s="335">
        <v>6509</v>
      </c>
      <c r="E41" s="336">
        <v>3.5</v>
      </c>
      <c r="F41" s="337">
        <v>0</v>
      </c>
      <c r="H41" s="350" t="s">
        <v>151</v>
      </c>
      <c r="J41" s="335"/>
      <c r="K41" s="336"/>
    </row>
    <row r="42" spans="2:11" ht="13.8">
      <c r="B42" s="334" t="s">
        <v>88</v>
      </c>
      <c r="D42" s="335">
        <v>6013</v>
      </c>
      <c r="E42" s="336">
        <v>6.12</v>
      </c>
      <c r="F42" s="337">
        <v>0</v>
      </c>
      <c r="H42" s="345">
        <v>6</v>
      </c>
      <c r="I42" s="346"/>
      <c r="J42" s="347"/>
      <c r="K42" s="348">
        <f>SUM(K43:K46)</f>
        <v>113.53</v>
      </c>
    </row>
    <row r="43" spans="2:11" ht="13.8">
      <c r="B43" s="334" t="s">
        <v>163</v>
      </c>
      <c r="D43" s="335">
        <v>6560</v>
      </c>
      <c r="E43" s="336">
        <v>4.95</v>
      </c>
      <c r="F43" s="337">
        <v>0</v>
      </c>
      <c r="H43" s="338" t="s">
        <v>156</v>
      </c>
      <c r="J43" s="335"/>
      <c r="K43" s="336"/>
    </row>
    <row r="44" spans="2:11">
      <c r="B44" s="334" t="s">
        <v>81</v>
      </c>
      <c r="D44" s="335">
        <v>6384</v>
      </c>
      <c r="E44" s="336">
        <v>20</v>
      </c>
      <c r="F44" s="337">
        <v>0</v>
      </c>
      <c r="H44" s="334" t="s">
        <v>164</v>
      </c>
      <c r="J44" s="335">
        <v>6005</v>
      </c>
      <c r="K44" s="336">
        <v>112.3</v>
      </c>
    </row>
    <row r="45" spans="2:11" ht="13.8">
      <c r="B45" s="334" t="s">
        <v>165</v>
      </c>
      <c r="D45" s="335">
        <v>6385</v>
      </c>
      <c r="E45" s="336">
        <v>12.89</v>
      </c>
      <c r="F45" s="337">
        <v>0</v>
      </c>
      <c r="H45" s="338" t="s">
        <v>159</v>
      </c>
      <c r="J45" s="335"/>
      <c r="K45" s="336"/>
    </row>
    <row r="46" spans="2:11">
      <c r="B46" s="334" t="s">
        <v>166</v>
      </c>
      <c r="D46" s="335">
        <v>6670</v>
      </c>
      <c r="E46" s="336">
        <v>14</v>
      </c>
      <c r="F46" s="337">
        <v>0</v>
      </c>
      <c r="H46" s="334" t="s">
        <v>160</v>
      </c>
      <c r="J46" s="335">
        <v>6005</v>
      </c>
      <c r="K46" s="336">
        <v>1.23</v>
      </c>
    </row>
    <row r="47" spans="2:11">
      <c r="B47" s="334" t="s">
        <v>0</v>
      </c>
      <c r="D47" s="354" t="s">
        <v>167</v>
      </c>
      <c r="E47" s="336">
        <v>2.5</v>
      </c>
      <c r="F47" s="337">
        <v>0</v>
      </c>
      <c r="H47" s="341" t="s">
        <v>151</v>
      </c>
      <c r="I47" s="342"/>
      <c r="J47" s="343"/>
      <c r="K47" s="344"/>
    </row>
    <row r="48" spans="2:11" ht="13.8">
      <c r="B48" s="334" t="s">
        <v>1</v>
      </c>
      <c r="D48" s="354" t="s">
        <v>167</v>
      </c>
      <c r="E48" s="336">
        <v>3.12</v>
      </c>
      <c r="F48" s="337">
        <v>0</v>
      </c>
      <c r="H48" s="329">
        <v>7</v>
      </c>
      <c r="I48" s="330"/>
      <c r="J48" s="331"/>
      <c r="K48" s="332">
        <f>SUM(K49:K60)</f>
        <v>967.75</v>
      </c>
    </row>
    <row r="49" spans="2:11" ht="13.8">
      <c r="B49" s="334" t="s">
        <v>168</v>
      </c>
      <c r="D49" s="335">
        <v>6623</v>
      </c>
      <c r="E49" s="336">
        <v>10</v>
      </c>
      <c r="F49" s="337">
        <v>0</v>
      </c>
      <c r="H49" s="338" t="s">
        <v>169</v>
      </c>
      <c r="J49" s="335"/>
      <c r="K49" s="336"/>
    </row>
    <row r="50" spans="2:11">
      <c r="B50" s="334" t="s">
        <v>170</v>
      </c>
      <c r="D50" s="335">
        <v>6621</v>
      </c>
      <c r="E50" s="336">
        <v>10</v>
      </c>
      <c r="F50" s="337">
        <v>0</v>
      </c>
      <c r="H50" s="334" t="s">
        <v>171</v>
      </c>
      <c r="J50" s="335" t="s">
        <v>172</v>
      </c>
      <c r="K50" s="336">
        <v>478.69</v>
      </c>
    </row>
    <row r="51" spans="2:11" ht="13.8">
      <c r="B51" s="334" t="s">
        <v>173</v>
      </c>
      <c r="D51" s="335">
        <v>6831</v>
      </c>
      <c r="E51" s="336">
        <v>8.4</v>
      </c>
      <c r="F51" s="337">
        <v>2</v>
      </c>
      <c r="H51" s="338" t="s">
        <v>156</v>
      </c>
      <c r="J51" s="335"/>
      <c r="K51" s="336"/>
    </row>
    <row r="52" spans="2:11">
      <c r="B52" s="334" t="s">
        <v>84</v>
      </c>
      <c r="D52" s="335">
        <v>6695</v>
      </c>
      <c r="E52" s="336">
        <v>33.299999999999997</v>
      </c>
      <c r="F52" s="337">
        <v>6</v>
      </c>
      <c r="H52" s="334" t="s">
        <v>171</v>
      </c>
      <c r="J52" s="335">
        <v>6002</v>
      </c>
      <c r="K52" s="336">
        <v>450.68</v>
      </c>
    </row>
    <row r="53" spans="2:11" ht="13.8">
      <c r="B53" s="334" t="s">
        <v>85</v>
      </c>
      <c r="D53" s="335">
        <v>6698</v>
      </c>
      <c r="E53" s="336">
        <v>49.95</v>
      </c>
      <c r="F53" s="337">
        <v>6</v>
      </c>
      <c r="H53" s="338" t="s">
        <v>159</v>
      </c>
      <c r="J53" s="335"/>
      <c r="K53" s="336"/>
    </row>
    <row r="54" spans="2:11">
      <c r="B54" s="351" t="s">
        <v>151</v>
      </c>
      <c r="C54" s="342"/>
      <c r="D54" s="343"/>
      <c r="E54" s="352"/>
      <c r="F54" s="353"/>
      <c r="H54" s="334" t="s">
        <v>174</v>
      </c>
      <c r="J54" s="335">
        <v>6002</v>
      </c>
      <c r="K54" s="336">
        <v>2.84</v>
      </c>
    </row>
    <row r="55" spans="2:11" ht="13.8">
      <c r="B55" s="329">
        <v>5</v>
      </c>
      <c r="C55" s="330"/>
      <c r="D55" s="331"/>
      <c r="E55" s="332">
        <f>SUM(E56:E64)</f>
        <v>243.9</v>
      </c>
      <c r="F55" s="333"/>
      <c r="H55" s="334" t="s">
        <v>175</v>
      </c>
      <c r="J55" s="335">
        <v>6002</v>
      </c>
      <c r="K55" s="336">
        <v>24.65</v>
      </c>
    </row>
    <row r="56" spans="2:11">
      <c r="B56" s="334" t="s">
        <v>176</v>
      </c>
      <c r="D56" s="335">
        <v>6570</v>
      </c>
      <c r="E56" s="336">
        <v>5.35</v>
      </c>
      <c r="F56" s="337">
        <v>0</v>
      </c>
      <c r="H56" s="334" t="s">
        <v>93</v>
      </c>
      <c r="J56" s="335">
        <v>6002</v>
      </c>
      <c r="K56" s="336">
        <v>0.64</v>
      </c>
    </row>
    <row r="57" spans="2:11">
      <c r="B57" s="334" t="s">
        <v>177</v>
      </c>
      <c r="D57" s="335">
        <v>6600</v>
      </c>
      <c r="E57" s="336">
        <v>5.05</v>
      </c>
      <c r="F57" s="337">
        <v>7</v>
      </c>
      <c r="H57" s="334" t="s">
        <v>178</v>
      </c>
      <c r="J57" s="335">
        <v>6002</v>
      </c>
      <c r="K57" s="336">
        <v>0.93</v>
      </c>
    </row>
    <row r="58" spans="2:11">
      <c r="B58" s="334" t="s">
        <v>5</v>
      </c>
      <c r="D58" s="354" t="s">
        <v>167</v>
      </c>
      <c r="E58" s="336">
        <v>6.6</v>
      </c>
      <c r="F58" s="337">
        <v>0</v>
      </c>
      <c r="H58" s="334" t="s">
        <v>179</v>
      </c>
      <c r="J58" s="335">
        <v>6002</v>
      </c>
      <c r="K58" s="336">
        <v>1.22</v>
      </c>
    </row>
    <row r="59" spans="2:11">
      <c r="B59" s="334" t="s">
        <v>35</v>
      </c>
      <c r="D59" s="354" t="s">
        <v>167</v>
      </c>
      <c r="E59" s="336">
        <v>4.5</v>
      </c>
      <c r="F59" s="337">
        <v>0</v>
      </c>
      <c r="H59" s="334" t="s">
        <v>160</v>
      </c>
      <c r="J59" s="335">
        <v>6002</v>
      </c>
      <c r="K59" s="336">
        <v>7.16</v>
      </c>
    </row>
    <row r="60" spans="2:11">
      <c r="B60" s="334" t="s">
        <v>180</v>
      </c>
      <c r="D60" s="354" t="s">
        <v>167</v>
      </c>
      <c r="E60" s="336">
        <v>2.4</v>
      </c>
      <c r="F60" s="337">
        <v>1</v>
      </c>
      <c r="H60" s="334" t="s">
        <v>181</v>
      </c>
      <c r="J60" s="335">
        <v>6002</v>
      </c>
      <c r="K60" s="336">
        <v>0.94</v>
      </c>
    </row>
    <row r="61" spans="2:11">
      <c r="B61" s="334" t="s">
        <v>182</v>
      </c>
      <c r="D61" s="335">
        <v>6432</v>
      </c>
      <c r="E61" s="336">
        <v>100</v>
      </c>
      <c r="F61" s="337">
        <v>7</v>
      </c>
      <c r="H61" s="341" t="s">
        <v>151</v>
      </c>
      <c r="I61" s="342"/>
      <c r="J61" s="343"/>
      <c r="K61" s="344"/>
    </row>
    <row r="62" spans="2:11" ht="13.8">
      <c r="B62" s="334" t="s">
        <v>183</v>
      </c>
      <c r="D62" s="335">
        <v>6434</v>
      </c>
      <c r="E62" s="336">
        <v>17.5</v>
      </c>
      <c r="F62" s="337">
        <v>7</v>
      </c>
      <c r="H62" s="345">
        <v>8</v>
      </c>
      <c r="I62" s="346"/>
      <c r="J62" s="347"/>
      <c r="K62" s="348">
        <f>SUM(K63:K64)</f>
        <v>1.52</v>
      </c>
    </row>
    <row r="63" spans="2:11" ht="13.8">
      <c r="B63" s="334" t="s">
        <v>184</v>
      </c>
      <c r="D63" s="335">
        <v>6436</v>
      </c>
      <c r="E63" s="336">
        <v>62.5</v>
      </c>
      <c r="F63" s="337">
        <v>7</v>
      </c>
      <c r="H63" s="338" t="s">
        <v>169</v>
      </c>
      <c r="J63" s="335"/>
      <c r="K63" s="336"/>
    </row>
    <row r="64" spans="2:11">
      <c r="B64" s="334" t="s">
        <v>185</v>
      </c>
      <c r="D64" s="335">
        <v>6438</v>
      </c>
      <c r="E64" s="336">
        <v>40</v>
      </c>
      <c r="F64" s="337">
        <v>7</v>
      </c>
      <c r="H64" s="334" t="s">
        <v>186</v>
      </c>
      <c r="J64" s="335">
        <v>6100</v>
      </c>
      <c r="K64" s="336">
        <v>1.52</v>
      </c>
    </row>
    <row r="65" spans="2:11">
      <c r="B65" s="334" t="s">
        <v>151</v>
      </c>
      <c r="D65" s="335"/>
      <c r="E65" s="336"/>
      <c r="F65" s="337"/>
      <c r="H65" s="341" t="s">
        <v>151</v>
      </c>
      <c r="I65" s="342"/>
      <c r="J65" s="343"/>
      <c r="K65" s="344"/>
    </row>
    <row r="66" spans="2:11" ht="13.8">
      <c r="B66" s="345">
        <v>6</v>
      </c>
      <c r="C66" s="346"/>
      <c r="D66" s="347"/>
      <c r="E66" s="348">
        <f>SUM(E67:E69)</f>
        <v>105.8</v>
      </c>
      <c r="F66" s="349"/>
      <c r="H66" s="329">
        <v>9</v>
      </c>
      <c r="I66" s="330"/>
      <c r="J66" s="331"/>
      <c r="K66" s="332">
        <f>SUM(K67:K70)</f>
        <v>162.72999999999999</v>
      </c>
    </row>
    <row r="67" spans="2:11" ht="13.8">
      <c r="B67" s="334" t="s">
        <v>187</v>
      </c>
      <c r="D67" s="335">
        <v>6105</v>
      </c>
      <c r="E67" s="336">
        <v>96</v>
      </c>
      <c r="F67" s="337">
        <v>0</v>
      </c>
      <c r="H67" s="338" t="s">
        <v>169</v>
      </c>
      <c r="J67" s="335"/>
      <c r="K67" s="336"/>
    </row>
    <row r="68" spans="2:11">
      <c r="B68" s="334" t="s">
        <v>36</v>
      </c>
      <c r="D68" s="354" t="s">
        <v>167</v>
      </c>
      <c r="E68" s="336">
        <v>5.5</v>
      </c>
      <c r="F68" s="337">
        <v>0</v>
      </c>
      <c r="H68" s="334" t="s">
        <v>30</v>
      </c>
      <c r="J68" s="335" t="s">
        <v>188</v>
      </c>
      <c r="K68" s="336">
        <v>154.22999999999999</v>
      </c>
    </row>
    <row r="69" spans="2:11" ht="13.8">
      <c r="B69" s="334" t="s">
        <v>89</v>
      </c>
      <c r="D69" s="354" t="s">
        <v>167</v>
      </c>
      <c r="E69" s="336">
        <v>4.3</v>
      </c>
      <c r="F69" s="337">
        <v>0</v>
      </c>
      <c r="H69" s="338" t="s">
        <v>159</v>
      </c>
      <c r="J69" s="335"/>
      <c r="K69" s="336"/>
    </row>
    <row r="70" spans="2:11">
      <c r="B70" s="355" t="s">
        <v>151</v>
      </c>
      <c r="C70" s="342"/>
      <c r="D70" s="343"/>
      <c r="E70" s="344"/>
      <c r="F70" s="353"/>
      <c r="H70" s="334" t="s">
        <v>189</v>
      </c>
      <c r="J70" s="335">
        <v>6170</v>
      </c>
      <c r="K70" s="336">
        <v>8.5</v>
      </c>
    </row>
    <row r="71" spans="2:11" ht="13.8">
      <c r="B71" s="329">
        <v>7</v>
      </c>
      <c r="C71" s="330"/>
      <c r="D71" s="331"/>
      <c r="E71" s="332">
        <f>SUM(E72:E75)</f>
        <v>288.43</v>
      </c>
      <c r="F71" s="333"/>
      <c r="H71" s="341" t="s">
        <v>151</v>
      </c>
      <c r="I71" s="342"/>
      <c r="J71" s="343"/>
      <c r="K71" s="344"/>
    </row>
    <row r="72" spans="2:11" ht="13.8">
      <c r="B72" s="334" t="s">
        <v>190</v>
      </c>
      <c r="D72" s="335">
        <v>6002</v>
      </c>
      <c r="E72" s="336">
        <v>35.67</v>
      </c>
      <c r="F72" s="337">
        <v>0</v>
      </c>
      <c r="H72" s="345">
        <v>10</v>
      </c>
      <c r="I72" s="346"/>
      <c r="J72" s="347"/>
      <c r="K72" s="348">
        <f>SUM(K73:K75)</f>
        <v>38.5</v>
      </c>
    </row>
    <row r="73" spans="2:11" ht="13.8">
      <c r="B73" s="334" t="s">
        <v>37</v>
      </c>
      <c r="D73" s="335">
        <v>6172</v>
      </c>
      <c r="E73" s="336">
        <v>54</v>
      </c>
      <c r="F73" s="337">
        <v>0</v>
      </c>
      <c r="H73" s="338" t="s">
        <v>191</v>
      </c>
      <c r="J73" s="335"/>
      <c r="K73" s="336"/>
    </row>
    <row r="74" spans="2:11">
      <c r="B74" s="334" t="s">
        <v>192</v>
      </c>
      <c r="D74" s="335" t="s">
        <v>193</v>
      </c>
      <c r="E74" s="336">
        <v>120</v>
      </c>
      <c r="F74" s="337">
        <v>0</v>
      </c>
      <c r="H74" s="334" t="s">
        <v>194</v>
      </c>
      <c r="J74" s="335">
        <v>6340</v>
      </c>
      <c r="K74" s="336">
        <v>26.25</v>
      </c>
    </row>
    <row r="75" spans="2:11">
      <c r="B75" s="334" t="s">
        <v>195</v>
      </c>
      <c r="D75" s="335" t="s">
        <v>193</v>
      </c>
      <c r="E75" s="336">
        <v>78.760000000000005</v>
      </c>
      <c r="F75" s="337">
        <v>1</v>
      </c>
      <c r="H75" s="334" t="s">
        <v>196</v>
      </c>
      <c r="J75" s="335">
        <v>6262</v>
      </c>
      <c r="K75" s="336">
        <v>12.25</v>
      </c>
    </row>
    <row r="76" spans="2:11">
      <c r="B76" s="356" t="s">
        <v>151</v>
      </c>
      <c r="C76" s="357"/>
      <c r="D76" s="358"/>
      <c r="E76" s="359"/>
      <c r="F76" s="360"/>
      <c r="H76" s="341" t="s">
        <v>151</v>
      </c>
      <c r="I76" s="342"/>
      <c r="J76" s="343"/>
      <c r="K76" s="344"/>
    </row>
    <row r="77" spans="2:11" ht="13.8">
      <c r="B77" s="345">
        <v>8</v>
      </c>
      <c r="C77" s="346"/>
      <c r="D77" s="347"/>
      <c r="E77" s="348">
        <f>SUM(E78:E79)</f>
        <v>260</v>
      </c>
      <c r="F77" s="349"/>
    </row>
    <row r="78" spans="2:11">
      <c r="B78" s="334" t="s">
        <v>4</v>
      </c>
      <c r="D78" s="335">
        <v>6100</v>
      </c>
      <c r="E78" s="336">
        <v>260</v>
      </c>
      <c r="F78" s="337">
        <v>0</v>
      </c>
    </row>
    <row r="79" spans="2:11">
      <c r="B79" s="361" t="s">
        <v>151</v>
      </c>
      <c r="C79" s="342"/>
      <c r="D79" s="343"/>
      <c r="E79" s="344"/>
      <c r="F79" s="353"/>
    </row>
    <row r="80" spans="2:11" ht="13.8">
      <c r="B80" s="329">
        <v>9</v>
      </c>
      <c r="C80" s="362"/>
      <c r="D80" s="363"/>
      <c r="E80" s="332">
        <f>SUM(E81:E85)</f>
        <v>567.4</v>
      </c>
      <c r="F80" s="333"/>
    </row>
    <row r="81" spans="2:11">
      <c r="B81" s="334" t="s">
        <v>197</v>
      </c>
      <c r="D81" s="335">
        <v>6059</v>
      </c>
      <c r="E81" s="336">
        <v>160</v>
      </c>
      <c r="F81" s="337">
        <v>0</v>
      </c>
    </row>
    <row r="82" spans="2:11">
      <c r="B82" s="334" t="s">
        <v>198</v>
      </c>
      <c r="D82" s="335">
        <v>6060</v>
      </c>
      <c r="E82" s="336">
        <v>120</v>
      </c>
      <c r="F82" s="337">
        <v>0</v>
      </c>
    </row>
    <row r="83" spans="2:11">
      <c r="B83" s="334" t="s">
        <v>199</v>
      </c>
      <c r="D83" s="335">
        <v>6270</v>
      </c>
      <c r="E83" s="336">
        <v>87</v>
      </c>
      <c r="F83" s="337">
        <v>0</v>
      </c>
    </row>
    <row r="84" spans="2:11">
      <c r="B84" s="334" t="s">
        <v>200</v>
      </c>
      <c r="D84" s="335">
        <v>6290</v>
      </c>
      <c r="E84" s="336">
        <v>150</v>
      </c>
      <c r="F84" s="337">
        <v>0</v>
      </c>
    </row>
    <row r="85" spans="2:11">
      <c r="B85" s="334" t="s">
        <v>90</v>
      </c>
      <c r="D85" s="335">
        <v>6280</v>
      </c>
      <c r="E85" s="336">
        <v>50.4</v>
      </c>
      <c r="F85" s="337">
        <v>0</v>
      </c>
    </row>
    <row r="86" spans="2:11">
      <c r="B86" s="356" t="s">
        <v>151</v>
      </c>
      <c r="D86" s="335"/>
      <c r="E86" s="339"/>
      <c r="F86" s="337"/>
    </row>
    <row r="87" spans="2:11" ht="13.8">
      <c r="B87" s="345">
        <v>10</v>
      </c>
      <c r="C87" s="364"/>
      <c r="D87" s="365"/>
      <c r="E87" s="348">
        <f>SUM(E88:E89)</f>
        <v>222.17</v>
      </c>
      <c r="F87" s="349"/>
    </row>
    <row r="88" spans="2:11">
      <c r="B88" s="334" t="s">
        <v>196</v>
      </c>
      <c r="D88" s="335">
        <v>6263</v>
      </c>
      <c r="E88" s="336">
        <v>222.17</v>
      </c>
      <c r="F88" s="337">
        <v>0</v>
      </c>
    </row>
    <row r="89" spans="2:11">
      <c r="B89" s="355" t="s">
        <v>151</v>
      </c>
      <c r="C89" s="342"/>
      <c r="D89" s="343"/>
      <c r="E89" s="344"/>
      <c r="F89" s="353"/>
    </row>
    <row r="93" spans="2:11">
      <c r="K93" s="366"/>
    </row>
    <row r="94" spans="2:11">
      <c r="K94" s="366"/>
    </row>
    <row r="95" spans="2:11">
      <c r="K95" s="366"/>
    </row>
    <row r="96" spans="2:11">
      <c r="K96" s="366"/>
    </row>
    <row r="98" spans="2:11">
      <c r="B98" s="367"/>
      <c r="E98" s="366"/>
    </row>
    <row r="101" spans="2:11">
      <c r="B101" s="302"/>
      <c r="K101" s="366"/>
    </row>
    <row r="102" spans="2:11">
      <c r="B102" s="302"/>
      <c r="K102" s="366"/>
    </row>
    <row r="103" spans="2:11">
      <c r="K103" s="366"/>
    </row>
    <row r="104" spans="2:11">
      <c r="K104" s="366"/>
    </row>
    <row r="105" spans="2:11">
      <c r="K105" s="366"/>
    </row>
    <row r="106" spans="2:11">
      <c r="K106" s="366"/>
    </row>
    <row r="107" spans="2:11">
      <c r="K107" s="366"/>
    </row>
    <row r="108" spans="2:11">
      <c r="K108" s="366"/>
    </row>
    <row r="109" spans="2:11">
      <c r="K109" s="366"/>
    </row>
    <row r="110" spans="2:11">
      <c r="K110" s="366"/>
    </row>
    <row r="111" spans="2:11">
      <c r="K111" s="366"/>
    </row>
    <row r="112" spans="2:11">
      <c r="K112" s="366"/>
    </row>
    <row r="113" spans="11:11">
      <c r="K113" s="366"/>
    </row>
    <row r="114" spans="11:11">
      <c r="K114" s="366"/>
    </row>
    <row r="115" spans="11:11">
      <c r="K115" s="366"/>
    </row>
    <row r="116" spans="11:11">
      <c r="K116" s="366"/>
    </row>
    <row r="117" spans="11:11">
      <c r="K117" s="366"/>
    </row>
    <row r="118" spans="11:11">
      <c r="K118" s="366"/>
    </row>
    <row r="119" spans="11:11">
      <c r="K119" s="366"/>
    </row>
    <row r="120" spans="11:11">
      <c r="K120" s="366"/>
    </row>
    <row r="121" spans="11:11">
      <c r="K121" s="366"/>
    </row>
    <row r="122" spans="11:11">
      <c r="K122" s="366"/>
    </row>
    <row r="123" spans="11:11">
      <c r="K123" s="366"/>
    </row>
    <row r="124" spans="11:11">
      <c r="K124" s="366"/>
    </row>
    <row r="125" spans="11:11">
      <c r="K125" s="366"/>
    </row>
    <row r="126" spans="11:11">
      <c r="K126" s="366"/>
    </row>
    <row r="127" spans="11:11">
      <c r="K127" s="366"/>
    </row>
    <row r="128" spans="11:11">
      <c r="K128" s="366"/>
    </row>
    <row r="129" spans="11:11">
      <c r="K129" s="366"/>
    </row>
    <row r="130" spans="11:11">
      <c r="K130" s="366"/>
    </row>
    <row r="131" spans="11:11">
      <c r="K131" s="366"/>
    </row>
    <row r="132" spans="11:11">
      <c r="K132" s="366"/>
    </row>
    <row r="133" spans="11:11">
      <c r="K133" s="366"/>
    </row>
    <row r="134" spans="11:11">
      <c r="K134" s="366"/>
    </row>
    <row r="135" spans="11:11">
      <c r="K135" s="366"/>
    </row>
    <row r="136" spans="11:11">
      <c r="K136" s="366"/>
    </row>
    <row r="137" spans="11:11">
      <c r="K137" s="366"/>
    </row>
    <row r="138" spans="11:11">
      <c r="K138" s="366"/>
    </row>
    <row r="139" spans="11:11">
      <c r="K139" s="366"/>
    </row>
    <row r="140" spans="11:11">
      <c r="K140" s="366"/>
    </row>
    <row r="141" spans="11:11">
      <c r="K141" s="366"/>
    </row>
    <row r="142" spans="11:11">
      <c r="K142" s="366"/>
    </row>
    <row r="143" spans="11:11">
      <c r="K143" s="366"/>
    </row>
    <row r="144" spans="11:11">
      <c r="K144" s="366"/>
    </row>
    <row r="145" spans="11:11">
      <c r="K145" s="366"/>
    </row>
    <row r="146" spans="11:11">
      <c r="K146" s="366"/>
    </row>
    <row r="147" spans="11:11">
      <c r="K147" s="366"/>
    </row>
    <row r="148" spans="11:11">
      <c r="K148" s="366"/>
    </row>
    <row r="149" spans="11:11">
      <c r="K149" s="366"/>
    </row>
    <row r="150" spans="11:11">
      <c r="K150" s="366"/>
    </row>
    <row r="151" spans="11:11">
      <c r="K151" s="366"/>
    </row>
    <row r="152" spans="11:11">
      <c r="K152" s="366"/>
    </row>
    <row r="153" spans="11:11">
      <c r="K153" s="366"/>
    </row>
    <row r="154" spans="11:11">
      <c r="K154" s="366"/>
    </row>
    <row r="155" spans="11:11">
      <c r="K155" s="366"/>
    </row>
    <row r="156" spans="11:11">
      <c r="K156" s="366"/>
    </row>
    <row r="157" spans="11:11">
      <c r="K157" s="366"/>
    </row>
    <row r="158" spans="11:11">
      <c r="K158" s="366"/>
    </row>
    <row r="159" spans="11:11">
      <c r="K159" s="366"/>
    </row>
    <row r="160" spans="11:11">
      <c r="K160" s="366"/>
    </row>
    <row r="161" spans="11:11">
      <c r="K161" s="366"/>
    </row>
    <row r="162" spans="11:11">
      <c r="K162" s="366"/>
    </row>
    <row r="163" spans="11:11">
      <c r="K163" s="366"/>
    </row>
    <row r="164" spans="11:11">
      <c r="K164" s="366"/>
    </row>
    <row r="165" spans="11:11">
      <c r="K165" s="366"/>
    </row>
    <row r="166" spans="11:11">
      <c r="K166" s="366"/>
    </row>
    <row r="167" spans="11:11">
      <c r="K167" s="366"/>
    </row>
    <row r="168" spans="11:11">
      <c r="K168" s="366"/>
    </row>
    <row r="169" spans="11:11">
      <c r="K169" s="366"/>
    </row>
    <row r="170" spans="11:11">
      <c r="K170" s="366"/>
    </row>
    <row r="171" spans="11:11">
      <c r="K171" s="366"/>
    </row>
    <row r="172" spans="11:11">
      <c r="K172" s="366"/>
    </row>
    <row r="173" spans="11:11">
      <c r="K173" s="366"/>
    </row>
    <row r="174" spans="11:11">
      <c r="K174" s="366"/>
    </row>
    <row r="175" spans="11:11">
      <c r="K175" s="366"/>
    </row>
    <row r="176" spans="11:11">
      <c r="K176" s="366"/>
    </row>
    <row r="177" spans="5:11">
      <c r="K177" s="366"/>
    </row>
    <row r="178" spans="5:11">
      <c r="K178" s="366"/>
    </row>
    <row r="179" spans="5:11">
      <c r="K179" s="366"/>
    </row>
    <row r="180" spans="5:11">
      <c r="K180" s="366"/>
    </row>
    <row r="181" spans="5:11">
      <c r="K181" s="366"/>
    </row>
    <row r="182" spans="5:11">
      <c r="K182" s="366"/>
    </row>
    <row r="183" spans="5:11">
      <c r="K183" s="366"/>
    </row>
    <row r="184" spans="5:11">
      <c r="K184" s="366"/>
    </row>
    <row r="185" spans="5:11">
      <c r="K185" s="366"/>
    </row>
    <row r="186" spans="5:11">
      <c r="K186" s="366"/>
    </row>
    <row r="188" spans="5:11">
      <c r="E188" s="366"/>
    </row>
    <row r="189" spans="5:11">
      <c r="E189" s="366"/>
    </row>
    <row r="190" spans="5:11">
      <c r="E190" s="366"/>
    </row>
    <row r="191" spans="5:11">
      <c r="E191" s="366"/>
    </row>
    <row r="192" spans="5:11">
      <c r="E192" s="366"/>
    </row>
    <row r="193" spans="5:11">
      <c r="E193" s="366"/>
    </row>
    <row r="194" spans="5:11">
      <c r="E194" s="366"/>
    </row>
    <row r="195" spans="5:11">
      <c r="E195" s="366"/>
    </row>
    <row r="196" spans="5:11">
      <c r="E196" s="366"/>
    </row>
    <row r="197" spans="5:11">
      <c r="E197" s="366"/>
    </row>
    <row r="198" spans="5:11">
      <c r="E198" s="366"/>
    </row>
    <row r="199" spans="5:11">
      <c r="E199" s="366"/>
    </row>
    <row r="200" spans="5:11">
      <c r="E200" s="366"/>
    </row>
    <row r="201" spans="5:11">
      <c r="E201" s="366"/>
    </row>
    <row r="202" spans="5:11">
      <c r="E202" s="366"/>
    </row>
    <row r="203" spans="5:11">
      <c r="E203" s="366"/>
    </row>
    <row r="204" spans="5:11">
      <c r="E204" s="366"/>
    </row>
    <row r="205" spans="5:11">
      <c r="E205" s="366"/>
    </row>
    <row r="206" spans="5:11">
      <c r="E206" s="366"/>
      <c r="K206" s="366"/>
    </row>
    <row r="207" spans="5:11">
      <c r="E207" s="366"/>
      <c r="K207" s="366"/>
    </row>
    <row r="208" spans="5:11">
      <c r="E208" s="366"/>
      <c r="K208" s="366"/>
    </row>
    <row r="209" spans="5:11">
      <c r="E209" s="366"/>
      <c r="K209" s="366"/>
    </row>
    <row r="210" spans="5:11">
      <c r="E210" s="366"/>
      <c r="K210" s="366"/>
    </row>
    <row r="211" spans="5:11">
      <c r="E211" s="366"/>
      <c r="K211" s="366"/>
    </row>
    <row r="212" spans="5:11">
      <c r="E212" s="366"/>
      <c r="K212" s="366"/>
    </row>
    <row r="213" spans="5:11">
      <c r="E213" s="366"/>
      <c r="K213" s="366"/>
    </row>
    <row r="214" spans="5:11">
      <c r="E214" s="366"/>
      <c r="K214" s="366"/>
    </row>
    <row r="215" spans="5:11">
      <c r="E215" s="366"/>
      <c r="K215" s="366"/>
    </row>
    <row r="216" spans="5:11">
      <c r="E216" s="366"/>
      <c r="K216" s="366"/>
    </row>
    <row r="217" spans="5:11">
      <c r="E217" s="366"/>
      <c r="K217" s="366"/>
    </row>
    <row r="218" spans="5:11">
      <c r="E218" s="366"/>
      <c r="K218" s="366"/>
    </row>
    <row r="219" spans="5:11">
      <c r="E219" s="366"/>
      <c r="K219" s="366"/>
    </row>
    <row r="220" spans="5:11">
      <c r="E220" s="366"/>
      <c r="K220" s="366"/>
    </row>
    <row r="221" spans="5:11">
      <c r="E221" s="366"/>
      <c r="K221" s="366"/>
    </row>
    <row r="222" spans="5:11">
      <c r="E222" s="366"/>
      <c r="K222" s="366"/>
    </row>
    <row r="223" spans="5:11">
      <c r="E223" s="366"/>
      <c r="K223" s="366"/>
    </row>
    <row r="224" spans="5:11">
      <c r="E224" s="366"/>
      <c r="K224" s="366"/>
    </row>
    <row r="225" spans="5:11">
      <c r="E225" s="366"/>
      <c r="K225" s="366"/>
    </row>
    <row r="226" spans="5:11">
      <c r="E226" s="366"/>
      <c r="K226" s="366"/>
    </row>
    <row r="227" spans="5:11">
      <c r="E227" s="366"/>
      <c r="K227" s="366"/>
    </row>
    <row r="228" spans="5:11">
      <c r="E228" s="366"/>
      <c r="K228" s="366"/>
    </row>
    <row r="229" spans="5:11">
      <c r="E229" s="366"/>
      <c r="K229" s="366"/>
    </row>
    <row r="230" spans="5:11">
      <c r="E230" s="366"/>
      <c r="K230" s="366"/>
    </row>
    <row r="231" spans="5:11">
      <c r="E231" s="366"/>
      <c r="K231" s="366"/>
    </row>
    <row r="232" spans="5:11">
      <c r="E232" s="366"/>
      <c r="K232" s="366"/>
    </row>
    <row r="233" spans="5:11">
      <c r="E233" s="366"/>
      <c r="K233" s="366"/>
    </row>
    <row r="234" spans="5:11">
      <c r="E234" s="366"/>
      <c r="K234" s="366"/>
    </row>
    <row r="235" spans="5:11">
      <c r="E235" s="366"/>
      <c r="K235" s="366"/>
    </row>
    <row r="236" spans="5:11">
      <c r="E236" s="366"/>
      <c r="K236" s="366"/>
    </row>
    <row r="237" spans="5:11">
      <c r="E237" s="366"/>
      <c r="K237" s="366"/>
    </row>
    <row r="238" spans="5:11">
      <c r="E238" s="366"/>
      <c r="K238" s="366"/>
    </row>
    <row r="239" spans="5:11">
      <c r="E239" s="366"/>
      <c r="K239" s="366"/>
    </row>
    <row r="240" spans="5:11">
      <c r="E240" s="366"/>
      <c r="K240" s="366"/>
    </row>
    <row r="241" spans="5:11">
      <c r="E241" s="366"/>
      <c r="K241" s="366"/>
    </row>
    <row r="242" spans="5:11">
      <c r="E242" s="366"/>
      <c r="K242" s="366"/>
    </row>
    <row r="243" spans="5:11">
      <c r="E243" s="366"/>
      <c r="K243" s="366"/>
    </row>
    <row r="244" spans="5:11">
      <c r="E244" s="366"/>
      <c r="K244" s="366"/>
    </row>
    <row r="245" spans="5:11">
      <c r="E245" s="366"/>
      <c r="K245" s="366"/>
    </row>
    <row r="246" spans="5:11">
      <c r="E246" s="366"/>
      <c r="K246" s="366"/>
    </row>
    <row r="247" spans="5:11">
      <c r="E247" s="366"/>
      <c r="K247" s="366"/>
    </row>
    <row r="248" spans="5:11">
      <c r="E248" s="366"/>
      <c r="K248" s="366"/>
    </row>
    <row r="249" spans="5:11">
      <c r="E249" s="366"/>
      <c r="K249" s="366"/>
    </row>
    <row r="250" spans="5:11">
      <c r="E250" s="366"/>
      <c r="K250" s="366"/>
    </row>
    <row r="251" spans="5:11">
      <c r="E251" s="366"/>
      <c r="K251" s="366"/>
    </row>
    <row r="252" spans="5:11">
      <c r="E252" s="366"/>
      <c r="K252" s="366"/>
    </row>
    <row r="253" spans="5:11">
      <c r="E253" s="366"/>
      <c r="K253" s="366"/>
    </row>
    <row r="254" spans="5:11">
      <c r="E254" s="366"/>
      <c r="K254" s="366"/>
    </row>
    <row r="255" spans="5:11">
      <c r="E255" s="366"/>
      <c r="K255" s="366"/>
    </row>
    <row r="256" spans="5:11">
      <c r="E256" s="366"/>
      <c r="K256" s="366"/>
    </row>
    <row r="257" spans="5:11">
      <c r="E257" s="366"/>
      <c r="K257" s="366"/>
    </row>
    <row r="258" spans="5:11">
      <c r="E258" s="366"/>
      <c r="K258" s="366"/>
    </row>
    <row r="259" spans="5:11">
      <c r="E259" s="366"/>
      <c r="K259" s="366"/>
    </row>
    <row r="260" spans="5:11">
      <c r="E260" s="366"/>
      <c r="K260" s="366"/>
    </row>
    <row r="261" spans="5:11">
      <c r="E261" s="366"/>
      <c r="K261" s="366"/>
    </row>
    <row r="262" spans="5:11">
      <c r="E262" s="366"/>
      <c r="K262" s="366"/>
    </row>
    <row r="263" spans="5:11">
      <c r="E263" s="366"/>
      <c r="K263" s="366"/>
    </row>
    <row r="264" spans="5:11">
      <c r="E264" s="366"/>
      <c r="K264" s="366"/>
    </row>
    <row r="265" spans="5:11">
      <c r="E265" s="366"/>
      <c r="K265" s="366"/>
    </row>
    <row r="266" spans="5:11">
      <c r="E266" s="366"/>
      <c r="K266" s="366"/>
    </row>
    <row r="267" spans="5:11">
      <c r="E267" s="366"/>
      <c r="K267" s="366"/>
    </row>
    <row r="268" spans="5:11">
      <c r="E268" s="366"/>
      <c r="K268" s="366"/>
    </row>
    <row r="269" spans="5:11">
      <c r="E269" s="366"/>
      <c r="K269" s="366"/>
    </row>
    <row r="270" spans="5:11">
      <c r="E270" s="366"/>
      <c r="K270" s="366"/>
    </row>
    <row r="271" spans="5:11">
      <c r="E271" s="366"/>
      <c r="K271" s="366"/>
    </row>
    <row r="272" spans="5:11">
      <c r="E272" s="366"/>
      <c r="K272" s="366"/>
    </row>
    <row r="273" spans="5:11">
      <c r="E273" s="366"/>
      <c r="K273" s="366"/>
    </row>
    <row r="274" spans="5:11">
      <c r="E274" s="366"/>
      <c r="K274" s="366"/>
    </row>
    <row r="275" spans="5:11">
      <c r="E275" s="366"/>
      <c r="K275" s="366"/>
    </row>
    <row r="276" spans="5:11">
      <c r="E276" s="366"/>
      <c r="K276" s="366"/>
    </row>
    <row r="277" spans="5:11">
      <c r="E277" s="366"/>
      <c r="K277" s="366"/>
    </row>
    <row r="278" spans="5:11">
      <c r="E278" s="366"/>
      <c r="K278" s="366"/>
    </row>
    <row r="279" spans="5:11">
      <c r="E279" s="366"/>
      <c r="K279" s="366"/>
    </row>
    <row r="280" spans="5:11">
      <c r="E280" s="366"/>
      <c r="K280" s="366"/>
    </row>
    <row r="281" spans="5:11">
      <c r="E281" s="366"/>
      <c r="K281" s="366"/>
    </row>
  </sheetData>
  <conditionalFormatting sqref="K73:K76 K63:K64 K67:K70 K42:K46 K36:K40 K27:K28 K31:K33 E40:F53 E81:F85 C13:M14 E88:F89 E78:F79 E67:F70 E72:F76 E56:F65 E25:F29 E20:F21 E32:F37 K20:K22 K49:K60">
    <cfRule type="cellIs" dxfId="85" priority="3" operator="equal">
      <formula>0</formula>
    </cfRule>
  </conditionalFormatting>
  <conditionalFormatting sqref="K73:K76 K63:K64 K67:K70 K42:K46 K36:K40 K27:K28 K31:K33 E188:E281 K206:K281 E98 E40:F53 K101:K186 K93:K96 E81:F85 C13:M14 E88:F89 E78:F79 E67:F70 E72:F76 E56:F65 E25:F29 E20:F21 E32:F37 K20:K22 K49:K60">
    <cfRule type="cellIs" dxfId="84" priority="2" operator="equal">
      <formula>0</formula>
    </cfRule>
  </conditionalFormatting>
  <conditionalFormatting sqref="K73:K76 K63:K64 K67:K70 K42:K46 K36:K40 K27:K28 K31:K33 E40:F53 E81:F85 C13:M14 E88:F89 E78:F79 E67:F70 E72:F76 E56:F65 E25:F29 E20:F21 E32:F37 K20:K22 K49:K60">
    <cfRule type="cellIs" dxfId="83" priority="1" operator="equal">
      <formula>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tabSelected="1" zoomScale="85" zoomScaleNormal="85" workbookViewId="0">
      <selection activeCell="H26" sqref="H26"/>
    </sheetView>
  </sheetViews>
  <sheetFormatPr baseColWidth="10" defaultColWidth="8.88671875" defaultRowHeight="13.2"/>
  <cols>
    <col min="1" max="1" width="3" customWidth="1"/>
    <col min="2" max="2" width="56.88671875" customWidth="1"/>
    <col min="3" max="3" width="16.33203125" bestFit="1" customWidth="1"/>
    <col min="4" max="6" width="16.88671875" bestFit="1" customWidth="1"/>
    <col min="7" max="7" width="12.5546875" bestFit="1" customWidth="1"/>
    <col min="8" max="8" width="14.109375" customWidth="1"/>
    <col min="9" max="9" width="12.33203125" bestFit="1" customWidth="1"/>
    <col min="10" max="10" width="10.109375" bestFit="1" customWidth="1"/>
    <col min="11" max="11" width="10.5546875" bestFit="1" customWidth="1"/>
    <col min="12" max="12" width="12.33203125" bestFit="1" customWidth="1"/>
    <col min="13" max="13" width="10.109375" bestFit="1" customWidth="1"/>
    <col min="14" max="14" width="10.5546875" bestFit="1" customWidth="1"/>
  </cols>
  <sheetData>
    <row r="1" spans="2:8" ht="15.6">
      <c r="B1" s="1154" t="s">
        <v>3</v>
      </c>
      <c r="C1" s="1154"/>
      <c r="D1" s="1154"/>
      <c r="E1" s="1154"/>
      <c r="F1" s="1154"/>
      <c r="G1" s="1154"/>
    </row>
    <row r="2" spans="2:8" ht="21">
      <c r="B2" s="1154" t="s">
        <v>13</v>
      </c>
      <c r="C2" s="1154"/>
      <c r="D2" s="1154"/>
      <c r="E2" s="1154"/>
      <c r="F2" s="1154"/>
      <c r="G2" s="1154"/>
      <c r="H2" s="584"/>
    </row>
    <row r="3" spans="2:8" ht="15.6">
      <c r="B3" s="1154" t="s">
        <v>514</v>
      </c>
      <c r="C3" s="1154"/>
      <c r="D3" s="1154"/>
      <c r="E3" s="1154"/>
      <c r="F3" s="1154"/>
      <c r="G3" s="1154"/>
    </row>
    <row r="4" spans="2:8">
      <c r="C4" s="6"/>
      <c r="D4" s="6"/>
      <c r="E4" s="6"/>
      <c r="F4" s="6"/>
      <c r="G4" s="6"/>
    </row>
    <row r="5" spans="2:8" ht="18.600000000000001" customHeight="1">
      <c r="B5" s="1147" t="s">
        <v>96</v>
      </c>
      <c r="C5" s="1148"/>
      <c r="D5" s="1148"/>
      <c r="E5" s="1148"/>
      <c r="F5" s="1148"/>
      <c r="G5" s="1149"/>
    </row>
    <row r="6" spans="2:8" ht="23.4" customHeight="1">
      <c r="B6" s="1147" t="s">
        <v>379</v>
      </c>
      <c r="C6" s="1148"/>
      <c r="D6" s="1148"/>
      <c r="E6" s="1148"/>
      <c r="F6" s="1148"/>
      <c r="G6" s="1149"/>
    </row>
    <row r="7" spans="2:8">
      <c r="B7" s="1155" t="s">
        <v>97</v>
      </c>
      <c r="C7" s="1157" t="s">
        <v>16</v>
      </c>
      <c r="D7" s="100">
        <v>44378</v>
      </c>
      <c r="E7" s="100">
        <v>44743</v>
      </c>
      <c r="F7" s="100">
        <v>45108</v>
      </c>
      <c r="G7" s="100">
        <v>45474</v>
      </c>
      <c r="H7" s="4"/>
    </row>
    <row r="8" spans="2:8">
      <c r="B8" s="1156"/>
      <c r="C8" s="1157"/>
      <c r="D8" s="100">
        <v>44742</v>
      </c>
      <c r="E8" s="100">
        <v>45107</v>
      </c>
      <c r="F8" s="100">
        <v>45473</v>
      </c>
      <c r="G8" s="100">
        <v>45838</v>
      </c>
      <c r="H8" s="4"/>
    </row>
    <row r="9" spans="2:8" ht="18.75" customHeight="1">
      <c r="B9" s="403" t="s">
        <v>38</v>
      </c>
      <c r="C9" s="404">
        <f>(SUM(D9:G9))</f>
        <v>41931.998486205004</v>
      </c>
      <c r="D9" s="404">
        <f>SUM(D10:D11)</f>
        <v>7194.4876766739999</v>
      </c>
      <c r="E9" s="404">
        <f t="shared" ref="E9:F9" si="0">+E10+E11</f>
        <v>10257.733911986001</v>
      </c>
      <c r="F9" s="404">
        <f t="shared" si="0"/>
        <v>12302.828632590998</v>
      </c>
      <c r="G9" s="404">
        <f>SUM(G10:G11)</f>
        <v>12176.948264954</v>
      </c>
    </row>
    <row r="10" spans="2:8" ht="18.75" customHeight="1">
      <c r="B10" s="393" t="s">
        <v>107</v>
      </c>
      <c r="C10" s="394">
        <f t="shared" ref="C10:C13" si="1">(SUM(D10:G10))</f>
        <v>41931.998486205004</v>
      </c>
      <c r="D10" s="394">
        <f>'IMP Existente'!E77</f>
        <v>7194.4876766739999</v>
      </c>
      <c r="E10" s="394">
        <f>'IMP Existente'!F77</f>
        <v>10257.733911986001</v>
      </c>
      <c r="F10" s="394">
        <f>'IMP Existente'!G77</f>
        <v>12302.828632590998</v>
      </c>
      <c r="G10" s="394">
        <f>'IMP Existente'!H77</f>
        <v>12176.948264954</v>
      </c>
    </row>
    <row r="11" spans="2:8" ht="18.75" customHeight="1">
      <c r="B11" s="393"/>
      <c r="C11" s="394"/>
      <c r="D11" s="394"/>
      <c r="E11" s="394"/>
      <c r="F11" s="394"/>
      <c r="G11" s="394"/>
    </row>
    <row r="12" spans="2:8" ht="18.75" hidden="1" customHeight="1">
      <c r="B12" s="395" t="s">
        <v>273</v>
      </c>
      <c r="C12" s="396"/>
      <c r="D12" s="397">
        <f>+IMP!E84</f>
        <v>0.96697771116375775</v>
      </c>
      <c r="E12" s="397">
        <f>+IMP!F84</f>
        <v>0.90515558472690982</v>
      </c>
      <c r="F12" s="397"/>
      <c r="G12" s="397"/>
    </row>
    <row r="13" spans="2:8" ht="11.25" hidden="1" customHeight="1">
      <c r="B13" s="406" t="s">
        <v>274</v>
      </c>
      <c r="C13" s="407">
        <f t="shared" si="1"/>
        <v>16241.754363662825</v>
      </c>
      <c r="D13" s="408">
        <f>+D12*D9</f>
        <v>6956.9092265860854</v>
      </c>
      <c r="E13" s="408">
        <f t="shared" ref="E13" si="2">+E12*E9</f>
        <v>9284.8451370767398</v>
      </c>
      <c r="F13" s="408"/>
      <c r="G13" s="408"/>
    </row>
    <row r="14" spans="2:8" ht="27" customHeight="1">
      <c r="B14" s="401" t="s">
        <v>94</v>
      </c>
      <c r="C14" s="402">
        <f>+C15+C16</f>
        <v>41931.998486205004</v>
      </c>
      <c r="D14" s="402">
        <f>+D10</f>
        <v>7194.4876766739999</v>
      </c>
      <c r="E14" s="402">
        <f t="shared" ref="E14:G14" si="3">+E10</f>
        <v>10257.733911986001</v>
      </c>
      <c r="F14" s="402">
        <f t="shared" si="3"/>
        <v>12302.828632590998</v>
      </c>
      <c r="G14" s="402">
        <f t="shared" si="3"/>
        <v>12176.948264954</v>
      </c>
    </row>
    <row r="15" spans="2:8" ht="18.75" customHeight="1">
      <c r="B15" s="398" t="s">
        <v>7</v>
      </c>
      <c r="C15" s="399">
        <f>SUM(D15:G15)</f>
        <v>20965.999243102502</v>
      </c>
      <c r="D15" s="583">
        <f>D14/2</f>
        <v>3597.2438383369999</v>
      </c>
      <c r="E15" s="583">
        <f t="shared" ref="E15:G15" si="4">E14/2</f>
        <v>5128.8669559930004</v>
      </c>
      <c r="F15" s="583">
        <f t="shared" si="4"/>
        <v>6151.4143162954988</v>
      </c>
      <c r="G15" s="583">
        <f t="shared" si="4"/>
        <v>6088.4741324770002</v>
      </c>
      <c r="H15" s="1150"/>
    </row>
    <row r="16" spans="2:8" ht="24.6" customHeight="1">
      <c r="B16" s="398" t="s">
        <v>12</v>
      </c>
      <c r="C16" s="399">
        <f>SUM(D16:G16)</f>
        <v>20965.999243102502</v>
      </c>
      <c r="D16" s="583">
        <f>D14/2</f>
        <v>3597.2438383369999</v>
      </c>
      <c r="E16" s="583">
        <f t="shared" ref="E16:G16" si="5">E14/2</f>
        <v>5128.8669559930004</v>
      </c>
      <c r="F16" s="583">
        <f t="shared" si="5"/>
        <v>6151.4143162954988</v>
      </c>
      <c r="G16" s="583">
        <f t="shared" si="5"/>
        <v>6088.4741324770002</v>
      </c>
      <c r="H16" s="1150"/>
    </row>
    <row r="17" spans="1:8" ht="18.75" customHeight="1">
      <c r="B17" s="1144" t="s">
        <v>6</v>
      </c>
      <c r="C17" s="1145"/>
      <c r="D17" s="1145"/>
      <c r="E17" s="1145"/>
      <c r="F17" s="1145"/>
      <c r="G17" s="1146"/>
    </row>
    <row r="18" spans="1:8" ht="18.75" customHeight="1">
      <c r="B18" s="400" t="s">
        <v>8</v>
      </c>
      <c r="C18" s="396">
        <f>SUM(D18:G18)</f>
        <v>15993.821572000001</v>
      </c>
      <c r="D18" s="396">
        <f>'Resumen Dem  Y Cap'!N5</f>
        <v>3742.0353930000001</v>
      </c>
      <c r="E18" s="396">
        <f>'Resumen Dem  Y Cap'!N11</f>
        <v>3681.3253930000001</v>
      </c>
      <c r="F18" s="396">
        <f>'Resumen Dem  Y Cap'!N17</f>
        <v>3879.1853930000002</v>
      </c>
      <c r="G18" s="396">
        <f>'Resumen Dem  Y Cap'!N23</f>
        <v>4691.2753929999999</v>
      </c>
      <c r="H18" s="536"/>
    </row>
    <row r="19" spans="1:8" ht="18.75" customHeight="1">
      <c r="B19" s="400" t="s">
        <v>9</v>
      </c>
      <c r="C19" s="396">
        <f>SUM(D19:G19)</f>
        <v>8427.5195428693478</v>
      </c>
      <c r="D19" s="396">
        <f>'Resumen Dem  Y Cap'!N6</f>
        <v>2038.5975000000003</v>
      </c>
      <c r="E19" s="396">
        <f>'Resumen Dem  Y Cap'!N12</f>
        <v>2075.5144865451671</v>
      </c>
      <c r="F19" s="396">
        <f>'Resumen Dem  Y Cap'!N18</f>
        <v>2144.5139034803424</v>
      </c>
      <c r="G19" s="396">
        <f>'Resumen Dem  Y Cap'!N24</f>
        <v>2168.893652843838</v>
      </c>
      <c r="H19" s="536"/>
    </row>
    <row r="20" spans="1:8" ht="18.75" hidden="1" customHeight="1">
      <c r="B20" s="1144" t="s">
        <v>275</v>
      </c>
      <c r="C20" s="1145"/>
      <c r="D20" s="1145"/>
      <c r="E20" s="1145"/>
      <c r="F20" s="1145"/>
      <c r="G20" s="1146"/>
    </row>
    <row r="21" spans="1:8" ht="18.75" hidden="1" customHeight="1">
      <c r="B21" s="405" t="s">
        <v>276</v>
      </c>
      <c r="C21" s="396">
        <f>SUM(D21:G21)</f>
        <v>6950.6370580878483</v>
      </c>
      <c r="D21" s="396">
        <f>+D18*D12</f>
        <v>3618.4648194169126</v>
      </c>
      <c r="E21" s="396">
        <f t="shared" ref="E21:G21" si="6">+E18*E12</f>
        <v>3332.1722386709362</v>
      </c>
      <c r="F21" s="396">
        <f t="shared" si="6"/>
        <v>0</v>
      </c>
      <c r="G21" s="396">
        <f t="shared" si="6"/>
        <v>0</v>
      </c>
    </row>
    <row r="22" spans="1:8" ht="18.75" hidden="1" customHeight="1">
      <c r="B22" s="405" t="s">
        <v>277</v>
      </c>
      <c r="C22" s="396">
        <f>SUM(D22:G22)</f>
        <v>3849.9418732121217</v>
      </c>
      <c r="D22" s="396">
        <f>+D19*D12</f>
        <v>1971.278344534159</v>
      </c>
      <c r="E22" s="396">
        <f t="shared" ref="E22:G22" si="7">+E19*E12</f>
        <v>1878.6635286779626</v>
      </c>
      <c r="F22" s="396">
        <f t="shared" si="7"/>
        <v>0</v>
      </c>
      <c r="G22" s="396">
        <f t="shared" si="7"/>
        <v>0</v>
      </c>
    </row>
    <row r="23" spans="1:8">
      <c r="B23" s="112"/>
      <c r="C23" s="111"/>
      <c r="D23" s="111"/>
      <c r="E23" s="111"/>
      <c r="F23" s="111"/>
      <c r="G23" s="111"/>
      <c r="H23" s="185"/>
    </row>
    <row r="24" spans="1:8" ht="17.399999999999999">
      <c r="A24" s="419"/>
      <c r="B24" s="419"/>
      <c r="C24" s="418"/>
      <c r="D24" s="418"/>
      <c r="E24" s="418"/>
      <c r="F24" s="418"/>
      <c r="G24" s="418"/>
      <c r="H24" s="419"/>
    </row>
    <row r="25" spans="1:8" ht="24" customHeight="1">
      <c r="A25" s="419"/>
      <c r="B25" s="1151" t="s">
        <v>240</v>
      </c>
      <c r="C25" s="1152"/>
      <c r="D25" s="1152"/>
      <c r="E25" s="1152"/>
      <c r="F25" s="1153"/>
    </row>
    <row r="26" spans="1:8" ht="24" customHeight="1">
      <c r="A26" s="419"/>
      <c r="B26" s="834"/>
      <c r="C26" s="840" t="s">
        <v>322</v>
      </c>
      <c r="D26" s="840" t="s">
        <v>323</v>
      </c>
      <c r="E26" s="840" t="s">
        <v>512</v>
      </c>
      <c r="F26" s="838" t="s">
        <v>513</v>
      </c>
    </row>
    <row r="27" spans="1:8" ht="24" customHeight="1">
      <c r="A27" s="419"/>
      <c r="B27" s="839" t="s">
        <v>19</v>
      </c>
      <c r="C27" s="841" t="s">
        <v>2</v>
      </c>
      <c r="D27" s="841" t="s">
        <v>2</v>
      </c>
      <c r="E27" s="841" t="s">
        <v>2</v>
      </c>
      <c r="F27" s="841" t="s">
        <v>2</v>
      </c>
    </row>
    <row r="28" spans="1:8" ht="22.5" customHeight="1">
      <c r="A28" s="419"/>
      <c r="B28" s="835" t="s">
        <v>11</v>
      </c>
      <c r="C28" s="836">
        <f t="shared" ref="C28:F29" si="8">ROUND(D15/D18/12,4)</f>
        <v>8.0100000000000005E-2</v>
      </c>
      <c r="D28" s="836">
        <f t="shared" si="8"/>
        <v>0.11609999999999999</v>
      </c>
      <c r="E28" s="836">
        <f t="shared" si="8"/>
        <v>0.1321</v>
      </c>
      <c r="F28" s="836">
        <f t="shared" si="8"/>
        <v>0.1082</v>
      </c>
    </row>
    <row r="29" spans="1:8" ht="22.5" customHeight="1">
      <c r="A29" s="419"/>
      <c r="B29" s="842" t="s">
        <v>10</v>
      </c>
      <c r="C29" s="836">
        <f t="shared" si="8"/>
        <v>0.14699999999999999</v>
      </c>
      <c r="D29" s="836">
        <f t="shared" si="8"/>
        <v>0.2059</v>
      </c>
      <c r="E29" s="836">
        <f t="shared" si="8"/>
        <v>0.23899999999999999</v>
      </c>
      <c r="F29" s="836">
        <f t="shared" si="8"/>
        <v>0.2339</v>
      </c>
    </row>
    <row r="30" spans="1:8" ht="17.399999999999999">
      <c r="A30" s="419"/>
      <c r="C30" s="837"/>
    </row>
    <row r="32" spans="1:8">
      <c r="D32" s="111"/>
      <c r="F32" s="111"/>
      <c r="H32" s="111"/>
    </row>
    <row r="34" spans="2:5" ht="17.399999999999999">
      <c r="B34" s="419"/>
    </row>
    <row r="35" spans="2:5" ht="17.399999999999999">
      <c r="B35" s="419"/>
      <c r="D35" s="111"/>
    </row>
    <row r="43" spans="2:5">
      <c r="E43" s="498"/>
    </row>
  </sheetData>
  <mergeCells count="11">
    <mergeCell ref="B1:G1"/>
    <mergeCell ref="B2:G2"/>
    <mergeCell ref="B3:G3"/>
    <mergeCell ref="B7:B8"/>
    <mergeCell ref="C7:C8"/>
    <mergeCell ref="B6:G6"/>
    <mergeCell ref="B17:G17"/>
    <mergeCell ref="B5:G5"/>
    <mergeCell ref="B20:G20"/>
    <mergeCell ref="H15:H16"/>
    <mergeCell ref="B25:F25"/>
  </mergeCells>
  <phoneticPr fontId="0" type="noConversion"/>
  <printOptions horizontalCentered="1" verticalCentered="1"/>
  <pageMargins left="0.74803149606299213" right="0.74803149606299213" top="0.51181102362204722" bottom="0.51181102362204722" header="0.51181102362204722" footer="0.51181102362204722"/>
  <pageSetup scale="60" orientation="landscape" horizontalDpi="4294967293" r:id="rId1"/>
  <headerFooter alignWithMargins="0">
    <oddFooter>&amp;LArchivo:  &amp;FHoja: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V200"/>
  <sheetViews>
    <sheetView showGridLines="0" zoomScale="110" zoomScaleNormal="110" workbookViewId="0">
      <pane ySplit="4" topLeftCell="A70" activePane="bottomLeft" state="frozen"/>
      <selection pane="bottomLeft" activeCell="E77" sqref="E77:H77"/>
    </sheetView>
  </sheetViews>
  <sheetFormatPr baseColWidth="10" defaultColWidth="9.109375" defaultRowHeight="13.8"/>
  <cols>
    <col min="1" max="1" width="3.6640625" style="630" customWidth="1"/>
    <col min="2" max="2" width="55.109375" style="630" customWidth="1"/>
    <col min="3" max="3" width="9.88671875" style="630" customWidth="1"/>
    <col min="4" max="4" width="10.109375" style="630" customWidth="1"/>
    <col min="5" max="5" width="10.6640625" style="630" customWidth="1"/>
    <col min="6" max="6" width="10.33203125" style="630" customWidth="1"/>
    <col min="7" max="7" width="10.109375" style="630" customWidth="1"/>
    <col min="8" max="8" width="10.6640625" style="630" customWidth="1"/>
    <col min="9" max="9" width="10.44140625" style="630" customWidth="1"/>
    <col min="10" max="10" width="11.33203125" style="630" customWidth="1"/>
    <col min="11" max="11" width="11.88671875" style="630" customWidth="1"/>
    <col min="12" max="12" width="10.6640625" style="630" customWidth="1"/>
    <col min="13" max="13" width="11" style="630" bestFit="1" customWidth="1"/>
    <col min="14" max="14" width="11.33203125" style="630" bestFit="1" customWidth="1"/>
    <col min="15" max="15" width="10.33203125" style="630" bestFit="1" customWidth="1"/>
    <col min="16" max="16" width="9.109375" style="630"/>
    <col min="17" max="17" width="15" style="630" customWidth="1"/>
    <col min="18" max="19" width="9.109375" style="630"/>
    <col min="20" max="20" width="9.44140625" style="630" customWidth="1"/>
    <col min="21" max="21" width="9.5546875" style="630" customWidth="1"/>
    <col min="22" max="16384" width="9.109375" style="630"/>
  </cols>
  <sheetData>
    <row r="1" spans="2:13" s="845" customFormat="1" ht="14.4">
      <c r="B1" s="844"/>
      <c r="C1" s="844"/>
      <c r="D1" s="844"/>
      <c r="E1" s="844"/>
      <c r="F1" s="844"/>
      <c r="G1" s="844"/>
      <c r="H1" s="844"/>
      <c r="I1" s="844"/>
    </row>
    <row r="2" spans="2:13" s="845" customFormat="1">
      <c r="B2" s="1161" t="s">
        <v>39</v>
      </c>
      <c r="C2" s="1161"/>
      <c r="D2" s="1161"/>
      <c r="E2" s="1161"/>
      <c r="F2" s="1161"/>
      <c r="G2" s="1161"/>
      <c r="H2" s="1161"/>
      <c r="I2" s="1161"/>
    </row>
    <row r="3" spans="2:13" s="845" customFormat="1">
      <c r="B3" s="1161" t="s">
        <v>515</v>
      </c>
      <c r="C3" s="1161"/>
      <c r="D3" s="1161"/>
      <c r="E3" s="1161"/>
      <c r="F3" s="1161"/>
      <c r="G3" s="1161"/>
      <c r="H3" s="1161"/>
      <c r="I3" s="1161"/>
    </row>
    <row r="4" spans="2:13" s="845" customFormat="1">
      <c r="B4" s="1161" t="s">
        <v>375</v>
      </c>
      <c r="C4" s="1161"/>
      <c r="D4" s="1161"/>
      <c r="E4" s="1161"/>
      <c r="F4" s="1161"/>
      <c r="G4" s="1161"/>
      <c r="H4" s="1161"/>
      <c r="I4" s="1161"/>
    </row>
    <row r="5" spans="2:13" s="847" customFormat="1" ht="14.4" thickBot="1">
      <c r="B5" s="846" t="s">
        <v>516</v>
      </c>
    </row>
    <row r="6" spans="2:13" ht="14.4" thickBot="1">
      <c r="B6" s="637"/>
      <c r="C6" s="848" t="s">
        <v>42</v>
      </c>
      <c r="D6" s="848">
        <v>2020</v>
      </c>
      <c r="E6" s="848">
        <v>2021</v>
      </c>
      <c r="F6" s="848">
        <f>+E6+1</f>
        <v>2022</v>
      </c>
      <c r="G6" s="848">
        <f>+F6+1</f>
        <v>2023</v>
      </c>
      <c r="H6" s="848">
        <f>+G6+1</f>
        <v>2024</v>
      </c>
      <c r="I6" s="848">
        <f>+H6+1</f>
        <v>2025</v>
      </c>
    </row>
    <row r="7" spans="2:13">
      <c r="B7" s="849" t="s">
        <v>43</v>
      </c>
      <c r="C7" s="850" t="s">
        <v>44</v>
      </c>
      <c r="D7" s="657"/>
      <c r="E7" s="658">
        <f>+'[14]OMT%_ADMT%'!G14</f>
        <v>1.8700000000000001E-2</v>
      </c>
      <c r="F7" s="657">
        <f>$E$7</f>
        <v>1.8700000000000001E-2</v>
      </c>
      <c r="G7" s="657">
        <f t="shared" ref="G7:I7" si="0">$E$7</f>
        <v>1.8700000000000001E-2</v>
      </c>
      <c r="H7" s="657">
        <f t="shared" si="0"/>
        <v>1.8700000000000001E-2</v>
      </c>
      <c r="I7" s="657">
        <f t="shared" si="0"/>
        <v>1.8700000000000001E-2</v>
      </c>
      <c r="J7" s="655"/>
      <c r="K7" s="655"/>
      <c r="M7" s="851"/>
    </row>
    <row r="8" spans="2:13">
      <c r="B8" s="852" t="s">
        <v>45</v>
      </c>
      <c r="C8" s="853" t="s">
        <v>44</v>
      </c>
      <c r="D8" s="656"/>
      <c r="E8" s="656">
        <f>+'[14]OMT%_ADMT%'!G13</f>
        <v>1.32E-2</v>
      </c>
      <c r="F8" s="656">
        <f>$E$8</f>
        <v>1.32E-2</v>
      </c>
      <c r="G8" s="656">
        <f t="shared" ref="G8:I8" si="1">$E$8</f>
        <v>1.32E-2</v>
      </c>
      <c r="H8" s="656">
        <f t="shared" si="1"/>
        <v>1.32E-2</v>
      </c>
      <c r="I8" s="656">
        <f t="shared" si="1"/>
        <v>1.32E-2</v>
      </c>
      <c r="J8" s="655"/>
      <c r="K8" s="655"/>
    </row>
    <row r="9" spans="2:13" ht="8.25" customHeight="1" thickBot="1">
      <c r="E9" s="654"/>
      <c r="F9" s="654"/>
      <c r="G9" s="654"/>
      <c r="H9" s="654"/>
      <c r="I9" s="654"/>
      <c r="J9" s="655"/>
      <c r="K9" s="655"/>
    </row>
    <row r="10" spans="2:13" ht="14.4" thickBot="1">
      <c r="B10" s="854" t="s">
        <v>241</v>
      </c>
      <c r="C10" s="855" t="s">
        <v>44</v>
      </c>
      <c r="D10" s="588">
        <f>+[14]Sensibilidad!B7</f>
        <v>3.3385882564188139E-2</v>
      </c>
      <c r="E10" s="654"/>
      <c r="F10" s="654"/>
      <c r="G10" s="654"/>
      <c r="H10" s="654"/>
      <c r="I10" s="654"/>
      <c r="J10" s="653"/>
      <c r="K10" s="653"/>
    </row>
    <row r="11" spans="2:13" ht="14.4" thickBot="1">
      <c r="B11" s="854" t="s">
        <v>46</v>
      </c>
      <c r="C11" s="855" t="s">
        <v>44</v>
      </c>
      <c r="D11" s="856">
        <f>+[14]Sensibilidad!B6</f>
        <v>7.2999999999999995E-2</v>
      </c>
      <c r="E11" s="654"/>
      <c r="F11" s="654"/>
      <c r="G11" s="654"/>
      <c r="H11" s="654"/>
      <c r="I11" s="654"/>
      <c r="J11" s="653"/>
      <c r="K11" s="653"/>
    </row>
    <row r="12" spans="2:13" ht="7.5" customHeight="1">
      <c r="B12" s="857"/>
      <c r="J12" s="652"/>
      <c r="K12" s="652"/>
    </row>
    <row r="13" spans="2:13" s="847" customFormat="1">
      <c r="B13" s="846" t="s">
        <v>374</v>
      </c>
    </row>
    <row r="14" spans="2:13" ht="13.5" customHeight="1" thickBot="1">
      <c r="B14" s="630" t="s">
        <v>362</v>
      </c>
      <c r="H14" s="630" t="s">
        <v>517</v>
      </c>
      <c r="I14" s="858">
        <f>'[14]Factor ajuste'!I8</f>
        <v>0.99638189432240065</v>
      </c>
    </row>
    <row r="15" spans="2:13" ht="13.5" customHeight="1" thickBot="1">
      <c r="B15" s="637" t="s">
        <v>373</v>
      </c>
      <c r="C15" s="848" t="s">
        <v>42</v>
      </c>
      <c r="D15" s="848">
        <f>D$6</f>
        <v>2020</v>
      </c>
      <c r="E15" s="848">
        <f t="shared" ref="E15:I15" si="2">E$6</f>
        <v>2021</v>
      </c>
      <c r="F15" s="848">
        <f t="shared" si="2"/>
        <v>2022</v>
      </c>
      <c r="G15" s="848">
        <f t="shared" si="2"/>
        <v>2023</v>
      </c>
      <c r="H15" s="848">
        <f t="shared" si="2"/>
        <v>2024</v>
      </c>
      <c r="I15" s="848">
        <f t="shared" si="2"/>
        <v>2025</v>
      </c>
    </row>
    <row r="16" spans="2:13">
      <c r="B16" s="859" t="s">
        <v>372</v>
      </c>
      <c r="C16" s="850" t="s">
        <v>49</v>
      </c>
      <c r="D16" s="641">
        <f>'[14]Activos Reconocidos'!C59/1000*I14</f>
        <v>469639.86257701961</v>
      </c>
      <c r="E16" s="641">
        <f>'[14]Activos Reconocidos'!D59/1000*I14</f>
        <v>469639.86257701961</v>
      </c>
      <c r="F16" s="641">
        <f>'[14]Activos Reconocidos'!E59/1000*I14</f>
        <v>469639.86257701961</v>
      </c>
      <c r="G16" s="641">
        <f>'[14]Activos Reconocidos'!F59/1000*I14</f>
        <v>469639.86257701961</v>
      </c>
      <c r="H16" s="641">
        <f>'[14]Activos Reconocidos'!G59/1000*I14</f>
        <v>469639.86257701961</v>
      </c>
      <c r="I16" s="641">
        <f>'[14]Activos Reconocidos'!H59/1000*I14</f>
        <v>469639.86257701961</v>
      </c>
    </row>
    <row r="17" spans="2:11">
      <c r="B17" s="860" t="s">
        <v>371</v>
      </c>
      <c r="C17" s="861" t="s">
        <v>49</v>
      </c>
      <c r="D17" s="640">
        <f>'[14]Activos Reconocidos'!C63/1000*I14</f>
        <v>384518.88820209802</v>
      </c>
      <c r="E17" s="640">
        <f>'[14]Activos Reconocidos'!D63/1000*I14</f>
        <v>384518.88820209802</v>
      </c>
      <c r="F17" s="640">
        <f>'[14]Activos Reconocidos'!E63/1000*I14</f>
        <v>384518.88820209802</v>
      </c>
      <c r="G17" s="640">
        <f>'[14]Activos Reconocidos'!F63/1000*I14</f>
        <v>384518.88820209802</v>
      </c>
      <c r="H17" s="640">
        <f>'[14]Activos Reconocidos'!G63/1000*I14</f>
        <v>384518.88820209802</v>
      </c>
      <c r="I17" s="640">
        <f>'[14]Activos Reconocidos'!H63/1000*I14</f>
        <v>384518.88820209802</v>
      </c>
    </row>
    <row r="18" spans="2:11">
      <c r="B18" s="860" t="s">
        <v>370</v>
      </c>
      <c r="C18" s="861" t="s">
        <v>49</v>
      </c>
      <c r="D18" s="640">
        <f>'[14]Activos Reconocidos'!C177/1000*I14</f>
        <v>35512.435460297536</v>
      </c>
      <c r="E18" s="640">
        <f>'[14]Activos Reconocidos'!D177/1000*I14</f>
        <v>55770.612827272591</v>
      </c>
      <c r="F18" s="640">
        <f>'[14]Activos Reconocidos'!E177/1000*I14</f>
        <v>110321.52515952972</v>
      </c>
      <c r="G18" s="640">
        <f>'[14]Activos Reconocidos'!F177/1000*I14</f>
        <v>112314.28894817452</v>
      </c>
      <c r="H18" s="640">
        <f>'[14]Activos Reconocidos'!G177/1000*I14</f>
        <v>123843.42384737902</v>
      </c>
      <c r="I18" s="640">
        <f>'[14]Activos Reconocidos'!H177/1000*I14</f>
        <v>123843.42384737902</v>
      </c>
    </row>
    <row r="19" spans="2:11">
      <c r="B19" s="862"/>
      <c r="C19" s="863"/>
      <c r="D19" s="651">
        <f>+'[14]Activos Reconocidos'!C250/1000</f>
        <v>0</v>
      </c>
      <c r="E19" s="651">
        <f>+'[14]Activos Reconocidos'!D250/1000</f>
        <v>0</v>
      </c>
      <c r="F19" s="651">
        <f>+'[14]Activos Reconocidos'!E250/1000</f>
        <v>0</v>
      </c>
      <c r="G19" s="651">
        <f>+'[14]Activos Reconocidos'!F250/1000</f>
        <v>0</v>
      </c>
      <c r="H19" s="651">
        <f>+'[14]Activos Reconocidos'!G250/1000</f>
        <v>0</v>
      </c>
      <c r="I19" s="651">
        <f>+'[14]Activos Reconocidos'!H250/1000</f>
        <v>0</v>
      </c>
    </row>
    <row r="20" spans="2:11">
      <c r="B20" s="860" t="s">
        <v>369</v>
      </c>
      <c r="C20" s="861" t="s">
        <v>49</v>
      </c>
      <c r="D20" s="640">
        <f>'[14]Activos Reconocidos'!C57/1000*I14</f>
        <v>218092.9411836119</v>
      </c>
      <c r="E20" s="640">
        <f>'[14]Activos Reconocidos'!D57/1000*I14</f>
        <v>200731.25020751101</v>
      </c>
      <c r="F20" s="640">
        <f>'[14]Activos Reconocidos'!E57/1000*I14</f>
        <v>183369.55923141012</v>
      </c>
      <c r="G20" s="640">
        <f>'[14]Activos Reconocidos'!F57/1000*I14</f>
        <v>166007.86825530924</v>
      </c>
      <c r="H20" s="640">
        <f>'[14]Activos Reconocidos'!G57/1000*I14</f>
        <v>148646.17727920835</v>
      </c>
      <c r="I20" s="640">
        <f>'[14]Activos Reconocidos'!H57/1000*I14</f>
        <v>131284.48630310752</v>
      </c>
    </row>
    <row r="21" spans="2:11">
      <c r="B21" s="860" t="s">
        <v>368</v>
      </c>
      <c r="C21" s="861" t="s">
        <v>49</v>
      </c>
      <c r="D21" s="640">
        <f>'[14]Activos Reconocidos'!C61/1000*I14</f>
        <v>351949.0877762764</v>
      </c>
      <c r="E21" s="640">
        <f>'[14]Activos Reconocidos'!D61/1000*I14</f>
        <v>339111.58533104893</v>
      </c>
      <c r="F21" s="640">
        <f>'[14]Activos Reconocidos'!E61/1000*I14</f>
        <v>326274.08288582152</v>
      </c>
      <c r="G21" s="640">
        <f>'[14]Activos Reconocidos'!F61/1000*I14</f>
        <v>313436.58044059406</v>
      </c>
      <c r="H21" s="640">
        <f>'[14]Activos Reconocidos'!G61/1000*I14</f>
        <v>300599.07799536665</v>
      </c>
      <c r="I21" s="640">
        <f>'[14]Activos Reconocidos'!H61/1000*I14</f>
        <v>287761.57555013924</v>
      </c>
    </row>
    <row r="22" spans="2:11">
      <c r="B22" s="860" t="s">
        <v>367</v>
      </c>
      <c r="C22" s="861" t="s">
        <v>49</v>
      </c>
      <c r="D22" s="640">
        <f>'[14]Activos Reconocidos'!C178/1000*I14</f>
        <v>18252.119806259019</v>
      </c>
      <c r="E22" s="640">
        <f>'[14]Activos Reconocidos'!D178/1000*I14</f>
        <v>37608.763488903147</v>
      </c>
      <c r="F22" s="640">
        <f>'[14]Activos Reconocidos'!E178/1000*I14</f>
        <v>90581.805006291019</v>
      </c>
      <c r="G22" s="640">
        <f>'[14]Activos Reconocidos'!F178/1000*I14</f>
        <v>89175.467627172504</v>
      </c>
      <c r="H22" s="640">
        <f>'[14]Activos Reconocidos'!G178/1000*I14</f>
        <v>97238.971180787834</v>
      </c>
      <c r="I22" s="640">
        <f>'[14]Activos Reconocidos'!H178/1000*I14</f>
        <v>93388.429491387127</v>
      </c>
    </row>
    <row r="23" spans="2:11">
      <c r="B23" s="864"/>
      <c r="C23" s="865"/>
      <c r="D23" s="650">
        <f>+'[14]Activos Reconocidos'!C253/1000</f>
        <v>0</v>
      </c>
      <c r="E23" s="650">
        <f>+'[14]Activos Reconocidos'!D253/1000</f>
        <v>0</v>
      </c>
      <c r="F23" s="650">
        <f>+'[14]Activos Reconocidos'!E253/1000</f>
        <v>0</v>
      </c>
      <c r="G23" s="650">
        <f>+'[14]Activos Reconocidos'!F253/1000</f>
        <v>0</v>
      </c>
      <c r="H23" s="650">
        <f>+'[14]Activos Reconocidos'!G253/1000</f>
        <v>0</v>
      </c>
      <c r="I23" s="650">
        <f>+'[14]Activos Reconocidos'!H253/1000</f>
        <v>0</v>
      </c>
    </row>
    <row r="24" spans="2:11">
      <c r="C24" s="866"/>
      <c r="D24" s="616"/>
      <c r="E24" s="616"/>
      <c r="F24" s="616"/>
      <c r="G24" s="616"/>
      <c r="H24" s="616"/>
      <c r="I24" s="616"/>
    </row>
    <row r="25" spans="2:11" s="847" customFormat="1">
      <c r="B25" s="846" t="s">
        <v>366</v>
      </c>
    </row>
    <row r="26" spans="2:11" ht="14.4" thickBot="1">
      <c r="B26" s="630" t="s">
        <v>362</v>
      </c>
      <c r="J26" s="867"/>
      <c r="K26" s="867"/>
    </row>
    <row r="27" spans="2:11" ht="14.4" thickBot="1">
      <c r="B27" s="637" t="s">
        <v>365</v>
      </c>
      <c r="C27" s="848" t="s">
        <v>42</v>
      </c>
      <c r="D27" s="848">
        <f>D$6</f>
        <v>2020</v>
      </c>
      <c r="E27" s="848">
        <f t="shared" ref="E27:I27" si="3">E$6</f>
        <v>2021</v>
      </c>
      <c r="F27" s="848">
        <f t="shared" si="3"/>
        <v>2022</v>
      </c>
      <c r="G27" s="848">
        <f t="shared" si="3"/>
        <v>2023</v>
      </c>
      <c r="H27" s="848">
        <f t="shared" si="3"/>
        <v>2024</v>
      </c>
      <c r="I27" s="848">
        <f t="shared" si="3"/>
        <v>2025</v>
      </c>
      <c r="J27" s="867"/>
      <c r="K27" s="867"/>
    </row>
    <row r="28" spans="2:11">
      <c r="B28" s="859" t="s">
        <v>364</v>
      </c>
      <c r="C28" s="850" t="s">
        <v>49</v>
      </c>
      <c r="D28" s="641">
        <f>('[14]Activos Reconocidos'!C186+'[14]Activos Reconocidos'!C188)/1000</f>
        <v>846203.09965746815</v>
      </c>
      <c r="E28" s="641">
        <f>('[14]Activos Reconocidos'!D186+'[14]Activos Reconocidos'!D188)/1000</f>
        <v>846203.09965746815</v>
      </c>
      <c r="F28" s="649">
        <f>('[14]Activos Reconocidos'!E186+'[14]Activos Reconocidos'!E188)/1000</f>
        <v>846203.09965746815</v>
      </c>
      <c r="G28" s="641">
        <f>('[14]Activos Reconocidos'!F186+'[14]Activos Reconocidos'!F188)/1000</f>
        <v>846203.09965746815</v>
      </c>
      <c r="H28" s="641">
        <f>('[14]Activos Reconocidos'!G186+'[14]Activos Reconocidos'!G188)/1000</f>
        <v>846203.09965746815</v>
      </c>
      <c r="I28" s="648">
        <f>('[14]Activos Reconocidos'!H186+'[14]Activos Reconocidos'!H188)/1000</f>
        <v>846203.09965746815</v>
      </c>
      <c r="J28" s="631"/>
      <c r="K28" s="631"/>
    </row>
    <row r="29" spans="2:11">
      <c r="B29" s="860" t="s">
        <v>363</v>
      </c>
      <c r="C29" s="861" t="s">
        <v>49</v>
      </c>
      <c r="D29" s="640">
        <f>('[14]Activos Reconocidos'!C187+'[14]Activos Reconocidos'!C189)/1000</f>
        <v>209796.57826653475</v>
      </c>
      <c r="E29" s="640">
        <f>('[14]Activos Reconocidos'!D187+'[14]Activos Reconocidos'!D189)/1000</f>
        <v>209796.57826653475</v>
      </c>
      <c r="F29" s="643">
        <f>('[14]Activos Reconocidos'!E187+'[14]Activos Reconocidos'!E189)/1000</f>
        <v>209796.57826653475</v>
      </c>
      <c r="G29" s="640">
        <f>('[14]Activos Reconocidos'!F187+'[14]Activos Reconocidos'!F189)/1000</f>
        <v>209796.57826653475</v>
      </c>
      <c r="H29" s="640">
        <f>('[14]Activos Reconocidos'!G187+'[14]Activos Reconocidos'!G189)/1000</f>
        <v>209796.57826653475</v>
      </c>
      <c r="I29" s="647">
        <f>('[14]Activos Reconocidos'!H187+'[14]Activos Reconocidos'!H189)/1000</f>
        <v>209796.57826653475</v>
      </c>
      <c r="J29" s="631"/>
      <c r="K29" s="631"/>
    </row>
    <row r="30" spans="2:11">
      <c r="B30" s="864" t="s">
        <v>57</v>
      </c>
      <c r="C30" s="865" t="s">
        <v>49</v>
      </c>
      <c r="D30" s="645">
        <f>'[14]Activos Reconocidos'!C190/1000</f>
        <v>110834.09652639033</v>
      </c>
      <c r="E30" s="645">
        <f>'[14]Activos Reconocidos'!D190/1000</f>
        <v>131165.83627639033</v>
      </c>
      <c r="F30" s="646">
        <f>'[14]Activos Reconocidos'!E190/1000</f>
        <v>185914.83627639033</v>
      </c>
      <c r="G30" s="645">
        <f>'[14]Activos Reconocidos'!F190/1000</f>
        <v>187914.83627639033</v>
      </c>
      <c r="H30" s="645">
        <f>'[14]Activos Reconocidos'!G190/1000</f>
        <v>199485.83627639033</v>
      </c>
      <c r="I30" s="644">
        <f>'[14]Activos Reconocidos'!H190/1000</f>
        <v>199485.83627639033</v>
      </c>
      <c r="J30" s="631"/>
      <c r="K30" s="631"/>
    </row>
    <row r="31" spans="2:11">
      <c r="B31" s="857"/>
      <c r="C31" s="866"/>
      <c r="D31" s="643"/>
      <c r="E31" s="643"/>
      <c r="F31" s="643"/>
      <c r="G31" s="643"/>
      <c r="H31" s="643"/>
      <c r="I31" s="643"/>
      <c r="J31" s="868"/>
      <c r="K31" s="631"/>
    </row>
    <row r="32" spans="2:11" s="847" customFormat="1">
      <c r="B32" s="846" t="s">
        <v>518</v>
      </c>
    </row>
    <row r="33" spans="1:12">
      <c r="B33" s="630" t="s">
        <v>362</v>
      </c>
    </row>
    <row r="34" spans="1:12" ht="14.4" thickBot="1">
      <c r="B34" s="869"/>
    </row>
    <row r="35" spans="1:12" ht="14.4" thickBot="1">
      <c r="B35" s="637" t="s">
        <v>519</v>
      </c>
      <c r="C35" s="848"/>
      <c r="D35" s="848"/>
      <c r="E35" s="848">
        <f>E6</f>
        <v>2021</v>
      </c>
      <c r="F35" s="848">
        <f>F6</f>
        <v>2022</v>
      </c>
      <c r="G35" s="848">
        <f>G6</f>
        <v>2023</v>
      </c>
      <c r="H35" s="848">
        <f>H6</f>
        <v>2024</v>
      </c>
      <c r="I35" s="848">
        <f>I6</f>
        <v>2025</v>
      </c>
      <c r="K35" s="634"/>
    </row>
    <row r="36" spans="1:12">
      <c r="B36" s="870" t="s">
        <v>62</v>
      </c>
      <c r="C36" s="850" t="s">
        <v>49</v>
      </c>
      <c r="D36" s="870"/>
      <c r="E36" s="641">
        <f>D28*E$7</f>
        <v>15823.997963594655</v>
      </c>
      <c r="F36" s="641">
        <f>E28*F$7</f>
        <v>15823.997963594655</v>
      </c>
      <c r="G36" s="641">
        <f>F28*G$7</f>
        <v>15823.997963594655</v>
      </c>
      <c r="H36" s="641">
        <f>G28*H$7</f>
        <v>15823.997963594655</v>
      </c>
      <c r="I36" s="641">
        <f>H28*I$7</f>
        <v>15823.997963594655</v>
      </c>
      <c r="K36" s="871"/>
    </row>
    <row r="37" spans="1:12">
      <c r="B37" s="872" t="s">
        <v>63</v>
      </c>
      <c r="C37" s="861" t="s">
        <v>49</v>
      </c>
      <c r="D37" s="872"/>
      <c r="E37" s="640">
        <f>D28*E$8</f>
        <v>11169.880915478579</v>
      </c>
      <c r="F37" s="640">
        <f>E28*F$8</f>
        <v>11169.880915478579</v>
      </c>
      <c r="G37" s="640">
        <f>F28*G$8</f>
        <v>11169.880915478579</v>
      </c>
      <c r="H37" s="640">
        <f>G28*H$8</f>
        <v>11169.880915478579</v>
      </c>
      <c r="I37" s="640">
        <f>H28*I$8</f>
        <v>11169.880915478579</v>
      </c>
      <c r="K37" s="871"/>
    </row>
    <row r="38" spans="1:12">
      <c r="B38" s="872" t="s">
        <v>64</v>
      </c>
      <c r="C38" s="861" t="s">
        <v>49</v>
      </c>
      <c r="D38" s="872"/>
      <c r="E38" s="640">
        <f>-'[14]Activos Reconocidos'!D58/1000*$I$14</f>
        <v>17361.690976100868</v>
      </c>
      <c r="F38" s="640">
        <f>-'[14]Activos Reconocidos'!E58/1000*$I$14</f>
        <v>17361.690976100868</v>
      </c>
      <c r="G38" s="640">
        <f>-'[14]Activos Reconocidos'!F58/1000*$I$14</f>
        <v>17361.690976100868</v>
      </c>
      <c r="H38" s="640">
        <f>-'[14]Activos Reconocidos'!G58/1000*$I$14</f>
        <v>17361.690976100868</v>
      </c>
      <c r="I38" s="640">
        <f>-'[14]Activos Reconocidos'!H58/1000*$I$14</f>
        <v>17361.690976100868</v>
      </c>
      <c r="K38" s="871"/>
    </row>
    <row r="39" spans="1:12">
      <c r="B39" s="872" t="s">
        <v>65</v>
      </c>
      <c r="C39" s="861" t="s">
        <v>49</v>
      </c>
      <c r="D39" s="872"/>
      <c r="E39" s="640">
        <f>D20*$D$11</f>
        <v>15920.784706403667</v>
      </c>
      <c r="F39" s="640">
        <f>E20*$D$11</f>
        <v>14653.381265148302</v>
      </c>
      <c r="G39" s="640">
        <f>F20*$D$11</f>
        <v>13385.977823892938</v>
      </c>
      <c r="H39" s="640">
        <f>G20*$D$11</f>
        <v>12118.574382637573</v>
      </c>
      <c r="I39" s="640">
        <f>H20*$D$11</f>
        <v>10851.170941382208</v>
      </c>
      <c r="K39" s="871"/>
    </row>
    <row r="40" spans="1:12" ht="14.4" thickBot="1">
      <c r="B40" s="873" t="s">
        <v>254</v>
      </c>
      <c r="C40" s="863" t="s">
        <v>49</v>
      </c>
      <c r="D40" s="873"/>
      <c r="E40" s="640">
        <v>15</v>
      </c>
      <c r="F40" s="640">
        <v>120</v>
      </c>
      <c r="G40" s="640">
        <v>120</v>
      </c>
      <c r="H40" s="640">
        <v>120</v>
      </c>
      <c r="I40" s="640">
        <v>15</v>
      </c>
      <c r="J40" s="874" t="s">
        <v>361</v>
      </c>
      <c r="K40" s="871"/>
    </row>
    <row r="41" spans="1:12" ht="14.4" thickBot="1">
      <c r="B41" s="875" t="s">
        <v>16</v>
      </c>
      <c r="C41" s="876"/>
      <c r="D41" s="876"/>
      <c r="E41" s="877">
        <f>SUM(E36:E40)</f>
        <v>60291.354561577777</v>
      </c>
      <c r="F41" s="877">
        <f>SUM(F36:F40)</f>
        <v>59128.95112032241</v>
      </c>
      <c r="G41" s="877">
        <f>SUM(G36:G40)</f>
        <v>57861.547679067044</v>
      </c>
      <c r="H41" s="877">
        <f>SUM(H36:H40)</f>
        <v>56594.144237811677</v>
      </c>
      <c r="I41" s="877">
        <f>SUM(I36:I40)</f>
        <v>55221.740796556318</v>
      </c>
      <c r="L41" s="874"/>
    </row>
    <row r="42" spans="1:12" ht="14.4" thickBot="1">
      <c r="A42" s="878"/>
      <c r="B42" s="879"/>
      <c r="C42" s="878"/>
      <c r="D42" s="878"/>
      <c r="E42" s="880"/>
      <c r="F42" s="880"/>
      <c r="G42" s="880"/>
      <c r="H42" s="880"/>
      <c r="I42" s="880"/>
    </row>
    <row r="43" spans="1:12" ht="14.4" thickBot="1">
      <c r="B43" s="637" t="s">
        <v>520</v>
      </c>
      <c r="C43" s="848"/>
      <c r="D43" s="848"/>
      <c r="E43" s="848">
        <f>E6</f>
        <v>2021</v>
      </c>
      <c r="F43" s="848">
        <f>F6</f>
        <v>2022</v>
      </c>
      <c r="G43" s="848">
        <f>G6</f>
        <v>2023</v>
      </c>
      <c r="H43" s="848">
        <f>H6</f>
        <v>2024</v>
      </c>
      <c r="I43" s="848">
        <f>I6</f>
        <v>2025</v>
      </c>
    </row>
    <row r="44" spans="1:12">
      <c r="B44" s="870" t="s">
        <v>62</v>
      </c>
      <c r="C44" s="850" t="s">
        <v>49</v>
      </c>
      <c r="D44" s="870"/>
      <c r="E44" s="641">
        <f>D29*E$7</f>
        <v>3923.1960135842</v>
      </c>
      <c r="F44" s="641">
        <f>(F29)*F$7</f>
        <v>3923.1960135842</v>
      </c>
      <c r="G44" s="641">
        <f>(G29)*G$7</f>
        <v>3923.1960135842</v>
      </c>
      <c r="H44" s="641">
        <f>(H29)*H$7</f>
        <v>3923.1960135842</v>
      </c>
      <c r="I44" s="641">
        <f>(I29)*I$7</f>
        <v>3923.1960135842</v>
      </c>
    </row>
    <row r="45" spans="1:12">
      <c r="B45" s="872" t="s">
        <v>63</v>
      </c>
      <c r="C45" s="861" t="s">
        <v>49</v>
      </c>
      <c r="D45" s="872"/>
      <c r="E45" s="640">
        <f>D29*E$8</f>
        <v>2769.3148331182588</v>
      </c>
      <c r="F45" s="640">
        <f>(F29)*F$8</f>
        <v>2769.3148331182588</v>
      </c>
      <c r="G45" s="640">
        <f>(G29)*G$8</f>
        <v>2769.3148331182588</v>
      </c>
      <c r="H45" s="640">
        <f>(H29)*H$8</f>
        <v>2769.3148331182588</v>
      </c>
      <c r="I45" s="640">
        <f>(I29)*I$8</f>
        <v>2769.3148331182588</v>
      </c>
    </row>
    <row r="46" spans="1:12">
      <c r="B46" s="872" t="s">
        <v>64</v>
      </c>
      <c r="C46" s="861" t="s">
        <v>49</v>
      </c>
      <c r="D46" s="872"/>
      <c r="E46" s="640">
        <f>-'[14]Activos Reconocidos'!D62/1000*I14</f>
        <v>12837.502445227432</v>
      </c>
      <c r="F46" s="640">
        <f>-'[14]Activos Reconocidos'!E62/1000*I14</f>
        <v>12837.502445227432</v>
      </c>
      <c r="G46" s="640">
        <f>-'[14]Activos Reconocidos'!F62/1000*I14</f>
        <v>12837.502445227432</v>
      </c>
      <c r="H46" s="640">
        <f>-'[14]Activos Reconocidos'!G62/1000*I14</f>
        <v>12837.502445227432</v>
      </c>
      <c r="I46" s="640">
        <f>-'[14]Activos Reconocidos'!H62/1000*I14</f>
        <v>12837.502445227432</v>
      </c>
    </row>
    <row r="47" spans="1:12">
      <c r="B47" s="872" t="s">
        <v>65</v>
      </c>
      <c r="C47" s="861" t="s">
        <v>49</v>
      </c>
      <c r="D47" s="872"/>
      <c r="E47" s="640">
        <f>(D21)*$D$11</f>
        <v>25692.283407668176</v>
      </c>
      <c r="F47" s="640">
        <f>(E21)*$D$11</f>
        <v>24755.145729166572</v>
      </c>
      <c r="G47" s="640">
        <f>(F21)*$D$11</f>
        <v>23818.008050664968</v>
      </c>
      <c r="H47" s="640">
        <f>(G21)*$D$11</f>
        <v>22880.870372163365</v>
      </c>
      <c r="I47" s="640">
        <f>(H21)*$D$11</f>
        <v>21943.732693661765</v>
      </c>
    </row>
    <row r="48" spans="1:12">
      <c r="B48" s="872" t="s">
        <v>360</v>
      </c>
      <c r="C48" s="861" t="s">
        <v>49</v>
      </c>
      <c r="D48" s="872"/>
      <c r="E48" s="642">
        <f>[14]CTPR!F9</f>
        <v>0</v>
      </c>
      <c r="F48" s="642">
        <f>[14]CTPR!G9+[14]CTPR!H9</f>
        <v>0</v>
      </c>
      <c r="G48" s="642">
        <f>[14]CTPR!I9+[14]CTPR!J9</f>
        <v>-6188.872545107246</v>
      </c>
      <c r="H48" s="642">
        <f>[14]CTPR!K9+[14]CTPR!L9</f>
        <v>-6188.872545107246</v>
      </c>
      <c r="I48" s="642">
        <f>+[14]CTPR!M9+[14]CTPR!N9</f>
        <v>-6188.872545107246</v>
      </c>
      <c r="J48" s="881" t="s">
        <v>521</v>
      </c>
      <c r="K48" s="882"/>
    </row>
    <row r="49" spans="1:20" ht="14.4" thickBot="1">
      <c r="B49" s="883" t="s">
        <v>254</v>
      </c>
      <c r="C49" s="884" t="s">
        <v>49</v>
      </c>
      <c r="D49" s="883"/>
      <c r="E49" s="883"/>
      <c r="F49" s="883"/>
      <c r="G49" s="883"/>
      <c r="H49" s="883"/>
      <c r="I49" s="883"/>
    </row>
    <row r="50" spans="1:20" ht="14.4" thickBot="1">
      <c r="B50" s="875" t="s">
        <v>16</v>
      </c>
      <c r="C50" s="875"/>
      <c r="D50" s="875"/>
      <c r="E50" s="877">
        <f>SUM(E44:E49)</f>
        <v>45222.296699598068</v>
      </c>
      <c r="F50" s="877">
        <f>SUM(F44:F49)</f>
        <v>44285.159021096464</v>
      </c>
      <c r="G50" s="877">
        <f>SUM(G44:G49)</f>
        <v>37159.148797487615</v>
      </c>
      <c r="H50" s="877">
        <f>SUM(H44:H49)</f>
        <v>36222.011118986011</v>
      </c>
      <c r="I50" s="877">
        <f>SUM(I44:I49)</f>
        <v>35284.873440484407</v>
      </c>
      <c r="L50" s="874"/>
    </row>
    <row r="51" spans="1:20" ht="14.4" thickBot="1">
      <c r="A51" s="878"/>
      <c r="B51" s="879"/>
      <c r="C51" s="878"/>
      <c r="D51" s="878"/>
      <c r="E51" s="880"/>
      <c r="F51" s="880"/>
      <c r="G51" s="880"/>
      <c r="H51" s="880"/>
      <c r="I51" s="880"/>
      <c r="K51" s="885"/>
      <c r="L51" s="885"/>
      <c r="M51" s="885"/>
      <c r="N51" s="885"/>
    </row>
    <row r="52" spans="1:20" ht="14.4" thickBot="1">
      <c r="B52" s="637" t="s">
        <v>66</v>
      </c>
      <c r="C52" s="848"/>
      <c r="D52" s="848"/>
      <c r="E52" s="848">
        <f>E6</f>
        <v>2021</v>
      </c>
      <c r="F52" s="848">
        <f>F6</f>
        <v>2022</v>
      </c>
      <c r="G52" s="848">
        <f>G6</f>
        <v>2023</v>
      </c>
      <c r="H52" s="848">
        <f>H6</f>
        <v>2024</v>
      </c>
      <c r="I52" s="848">
        <f>I6</f>
        <v>2025</v>
      </c>
      <c r="J52" s="885"/>
    </row>
    <row r="53" spans="1:20">
      <c r="B53" s="870" t="s">
        <v>62</v>
      </c>
      <c r="C53" s="850" t="s">
        <v>49</v>
      </c>
      <c r="D53" s="870"/>
      <c r="E53" s="641">
        <f>(D30)*E$7</f>
        <v>2072.5976050434992</v>
      </c>
      <c r="F53" s="641">
        <f>(E30)*F$7</f>
        <v>2452.8011383684993</v>
      </c>
      <c r="G53" s="641">
        <f>(F30)*G$7</f>
        <v>3476.6074383684995</v>
      </c>
      <c r="H53" s="641">
        <f>(G30)*H$7</f>
        <v>3514.0074383684996</v>
      </c>
      <c r="I53" s="641">
        <f>(H30)*I$7</f>
        <v>3730.3851383684996</v>
      </c>
      <c r="L53" s="874"/>
    </row>
    <row r="54" spans="1:20">
      <c r="B54" s="872" t="s">
        <v>63</v>
      </c>
      <c r="C54" s="861" t="s">
        <v>49</v>
      </c>
      <c r="D54" s="872"/>
      <c r="E54" s="640">
        <f>(D30)*E$8</f>
        <v>1463.0100741483525</v>
      </c>
      <c r="F54" s="640">
        <f>(E30)*F$8</f>
        <v>1731.3890388483524</v>
      </c>
      <c r="G54" s="640">
        <f>(F30)*G$8</f>
        <v>2454.0758388483523</v>
      </c>
      <c r="H54" s="640">
        <f>(G30)*H$8</f>
        <v>2480.4758388483524</v>
      </c>
      <c r="I54" s="640">
        <f>(H30)*I$8</f>
        <v>2633.2130388483524</v>
      </c>
    </row>
    <row r="55" spans="1:20">
      <c r="B55" s="872" t="s">
        <v>64</v>
      </c>
      <c r="C55" s="861" t="s">
        <v>49</v>
      </c>
      <c r="D55" s="872"/>
      <c r="E55" s="640">
        <f>-'[14]Activos Reconocidos'!D179/1000*I14</f>
        <v>901.53368433092817</v>
      </c>
      <c r="F55" s="640">
        <f>-'[14]Activos Reconocidos'!E179/1000*I14</f>
        <v>1577.8708148692513</v>
      </c>
      <c r="G55" s="640">
        <f>-'[14]Activos Reconocidos'!F179/1000*I14</f>
        <v>3399.1011677633101</v>
      </c>
      <c r="H55" s="640">
        <f>-'[14]Activos Reconocidos'!G179/1000*I14</f>
        <v>3465.6313455891718</v>
      </c>
      <c r="I55" s="640">
        <f>-'[14]Activos Reconocidos'!H179/1000*I14</f>
        <v>3850.5416894006967</v>
      </c>
    </row>
    <row r="56" spans="1:20">
      <c r="B56" s="872" t="s">
        <v>65</v>
      </c>
      <c r="C56" s="861" t="s">
        <v>49</v>
      </c>
      <c r="D56" s="872"/>
      <c r="E56" s="640">
        <f>(D22)*$D$11</f>
        <v>1332.4047458569082</v>
      </c>
      <c r="F56" s="640">
        <f>(E22)*$D$11</f>
        <v>2745.4397346899295</v>
      </c>
      <c r="G56" s="640">
        <f>(F22)*$D$11</f>
        <v>6612.4717654592441</v>
      </c>
      <c r="H56" s="640">
        <f>(G22)*$D$11</f>
        <v>6509.8091367835923</v>
      </c>
      <c r="I56" s="640">
        <f>(H22)*$D$11</f>
        <v>7098.4448961975113</v>
      </c>
    </row>
    <row r="57" spans="1:20" ht="14.4" thickBot="1">
      <c r="B57" s="883" t="s">
        <v>359</v>
      </c>
      <c r="C57" s="861" t="s">
        <v>49</v>
      </c>
      <c r="D57" s="883"/>
      <c r="E57" s="639">
        <f>-4730.38/3</f>
        <v>-1576.7933333333333</v>
      </c>
      <c r="F57" s="639">
        <f>-4730.38/3</f>
        <v>-1576.7933333333333</v>
      </c>
      <c r="G57" s="639">
        <f>-4730.38/3</f>
        <v>-1576.7933333333333</v>
      </c>
      <c r="I57" s="638"/>
    </row>
    <row r="58" spans="1:20" ht="14.4" thickBot="1">
      <c r="B58" s="875" t="s">
        <v>16</v>
      </c>
      <c r="C58" s="875"/>
      <c r="D58" s="875"/>
      <c r="E58" s="877">
        <f>SUM(E53:E56)</f>
        <v>5769.5461093796885</v>
      </c>
      <c r="F58" s="877">
        <f>SUM(F53:F56)</f>
        <v>8507.500726776032</v>
      </c>
      <c r="G58" s="877">
        <f>SUM(G53:G56)</f>
        <v>15942.256210439406</v>
      </c>
      <c r="H58" s="877">
        <f>SUM(H53:H56)</f>
        <v>15969.923759589616</v>
      </c>
      <c r="I58" s="877">
        <f>SUM(I53:I56)</f>
        <v>17312.584762815059</v>
      </c>
    </row>
    <row r="59" spans="1:20" ht="14.4" thickBot="1">
      <c r="B59" s="879"/>
      <c r="C59" s="878"/>
      <c r="D59" s="878"/>
      <c r="E59" s="880"/>
      <c r="F59" s="880"/>
      <c r="G59" s="880"/>
      <c r="H59" s="880"/>
      <c r="I59" s="880"/>
    </row>
    <row r="60" spans="1:20" ht="14.4" thickBot="1">
      <c r="B60" s="637" t="s">
        <v>522</v>
      </c>
      <c r="C60" s="848"/>
      <c r="D60" s="848"/>
      <c r="E60" s="848">
        <f>E6</f>
        <v>2021</v>
      </c>
      <c r="F60" s="848">
        <f>F6</f>
        <v>2022</v>
      </c>
      <c r="G60" s="848">
        <f>G6</f>
        <v>2023</v>
      </c>
      <c r="H60" s="848">
        <f>H6</f>
        <v>2024</v>
      </c>
      <c r="I60" s="848">
        <f>I6</f>
        <v>2025</v>
      </c>
    </row>
    <row r="61" spans="1:20" ht="14.4" thickBot="1">
      <c r="B61" s="870" t="s">
        <v>75</v>
      </c>
      <c r="C61" s="850" t="s">
        <v>49</v>
      </c>
      <c r="D61" s="870"/>
      <c r="E61" s="636">
        <f>+([14]CND!D24+[14]CND!E24)/1000</f>
        <v>6640.5075590179995</v>
      </c>
      <c r="F61" s="636">
        <f>+([14]CND!F24+[14]CND!G24)/1000</f>
        <v>7938.5457943300007</v>
      </c>
      <c r="G61" s="636">
        <f>+([14]CND!H24+[14]CND!I24)/1000</f>
        <v>12339.819029642</v>
      </c>
      <c r="H61" s="636">
        <f>+([14]CND!J24+[14]CND!K24)/1000</f>
        <v>12168.120720833</v>
      </c>
      <c r="I61" s="636">
        <f>+([14]CND!L24+[14]CND!M24)/1000</f>
        <v>5730.1191324770007</v>
      </c>
      <c r="J61" s="631"/>
      <c r="O61" s="880"/>
    </row>
    <row r="62" spans="1:20" ht="14.4" thickBot="1">
      <c r="B62" s="886" t="s">
        <v>16</v>
      </c>
      <c r="C62" s="875"/>
      <c r="D62" s="875"/>
      <c r="E62" s="877">
        <f>SUM(E61:E61)</f>
        <v>6640.5075590179995</v>
      </c>
      <c r="F62" s="877">
        <f>SUM(F61:F61)</f>
        <v>7938.5457943300007</v>
      </c>
      <c r="G62" s="877">
        <f>SUM(G61:G61)</f>
        <v>12339.819029642</v>
      </c>
      <c r="H62" s="877">
        <f>SUM(H61:H61)</f>
        <v>12168.120720833</v>
      </c>
      <c r="I62" s="877">
        <f>SUM(I61:I61)</f>
        <v>5730.1191324770007</v>
      </c>
      <c r="Q62" s="869"/>
      <c r="R62" s="869"/>
      <c r="S62" s="869"/>
    </row>
    <row r="63" spans="1:20" ht="14.4" thickBot="1">
      <c r="B63" s="879"/>
      <c r="C63" s="878"/>
      <c r="D63" s="878"/>
      <c r="E63" s="880"/>
      <c r="F63" s="880"/>
      <c r="G63" s="880"/>
      <c r="H63" s="880"/>
      <c r="I63" s="880"/>
      <c r="K63" s="869"/>
      <c r="L63" s="869"/>
      <c r="M63" s="869"/>
      <c r="Q63" s="869"/>
      <c r="R63" s="869"/>
      <c r="S63" s="869"/>
    </row>
    <row r="64" spans="1:20" ht="15" thickBot="1">
      <c r="B64" s="637" t="s">
        <v>523</v>
      </c>
      <c r="C64" s="887"/>
      <c r="D64" s="848" t="s">
        <v>358</v>
      </c>
      <c r="E64" s="848" t="s">
        <v>351</v>
      </c>
      <c r="F64" s="848" t="s">
        <v>350</v>
      </c>
      <c r="G64" s="848" t="s">
        <v>349</v>
      </c>
      <c r="H64" s="848" t="s">
        <v>348</v>
      </c>
      <c r="I64" s="880"/>
      <c r="K64" s="869"/>
      <c r="L64" s="869"/>
      <c r="M64" s="869"/>
      <c r="P64" s="844"/>
      <c r="Q64" s="888"/>
      <c r="R64" s="888"/>
      <c r="S64" s="888"/>
      <c r="T64" s="888"/>
    </row>
    <row r="65" spans="2:22" ht="14.4">
      <c r="B65" s="889" t="s">
        <v>357</v>
      </c>
      <c r="C65" s="890" t="s">
        <v>49</v>
      </c>
      <c r="D65" s="891">
        <f>NPV($D$11,E65:H65)</f>
        <v>194955.70780113779</v>
      </c>
      <c r="E65" s="891">
        <f>(E41+F41)/2</f>
        <v>59710.15284095009</v>
      </c>
      <c r="F65" s="891">
        <f>(F41+G41)/2</f>
        <v>58495.249399694731</v>
      </c>
      <c r="G65" s="891">
        <f>(G41+H41)/2</f>
        <v>57227.845958439357</v>
      </c>
      <c r="H65" s="891">
        <f>(H41+I41)/2</f>
        <v>55907.942517183998</v>
      </c>
      <c r="I65" s="880"/>
      <c r="J65" s="844"/>
      <c r="K65" s="888"/>
      <c r="L65" s="888"/>
      <c r="M65" s="888"/>
      <c r="N65" s="888"/>
      <c r="P65" s="844"/>
      <c r="Q65" s="892"/>
      <c r="R65" s="892"/>
      <c r="S65" s="892"/>
      <c r="T65" s="892"/>
    </row>
    <row r="66" spans="2:22" ht="14.4">
      <c r="B66" s="893" t="s">
        <v>356</v>
      </c>
      <c r="C66" s="894" t="s">
        <v>49</v>
      </c>
      <c r="D66" s="895">
        <f>NPV($D$11,E66:H66)</f>
        <v>133750.95697283139</v>
      </c>
      <c r="E66" s="895">
        <f>(E50+F50)/2+E48</f>
        <v>44753.727860347266</v>
      </c>
      <c r="F66" s="895">
        <f>(F50+G50)/2</f>
        <v>40722.153909292043</v>
      </c>
      <c r="G66" s="895">
        <f>(G50+H50)/2</f>
        <v>36690.579958236813</v>
      </c>
      <c r="H66" s="895">
        <f>(H50+I50)/2</f>
        <v>35753.442279735209</v>
      </c>
      <c r="I66" s="880"/>
      <c r="J66" s="844"/>
      <c r="K66" s="892"/>
      <c r="L66" s="892"/>
      <c r="M66" s="892"/>
      <c r="N66" s="892"/>
      <c r="P66" s="844"/>
      <c r="Q66" s="892"/>
      <c r="R66" s="892"/>
      <c r="S66" s="892"/>
      <c r="T66" s="892"/>
    </row>
    <row r="67" spans="2:22" ht="14.4">
      <c r="B67" s="893" t="s">
        <v>355</v>
      </c>
      <c r="C67" s="894" t="s">
        <v>49</v>
      </c>
      <c r="D67" s="895">
        <f>NPV(RRT,E67:H67)</f>
        <v>194955.70780113779</v>
      </c>
      <c r="E67" s="895">
        <f>-PMT(RRT,4,$D$65)</f>
        <v>57946.700069334373</v>
      </c>
      <c r="F67" s="895">
        <f>-PMT(RRT,4,$D$65)</f>
        <v>57946.700069334373</v>
      </c>
      <c r="G67" s="895">
        <f>-PMT(RRT,4,$D$65)</f>
        <v>57946.700069334373</v>
      </c>
      <c r="H67" s="895">
        <f>-PMT(RRT,4,$D$65)</f>
        <v>57946.700069334373</v>
      </c>
      <c r="I67" s="880"/>
      <c r="J67" s="844"/>
      <c r="K67" s="892"/>
      <c r="L67" s="892"/>
      <c r="M67" s="892"/>
      <c r="N67" s="892"/>
      <c r="P67" s="844"/>
      <c r="Q67" s="892"/>
      <c r="R67" s="892"/>
      <c r="S67" s="892"/>
      <c r="T67" s="892"/>
    </row>
    <row r="68" spans="2:22" ht="14.4">
      <c r="B68" s="896" t="s">
        <v>354</v>
      </c>
      <c r="C68" s="897" t="s">
        <v>49</v>
      </c>
      <c r="D68" s="898">
        <f>NPV(RRT,E68:H68)</f>
        <v>133750.95697283142</v>
      </c>
      <c r="E68" s="898">
        <f>-PMT(RRT,4,$D$66)</f>
        <v>39754.807259076697</v>
      </c>
      <c r="F68" s="898">
        <f>-PMT(RRT,4,$D$66)</f>
        <v>39754.807259076697</v>
      </c>
      <c r="G68" s="898">
        <f>-PMT(RRT,4,$D$66)</f>
        <v>39754.807259076697</v>
      </c>
      <c r="H68" s="898">
        <f>-PMT(RRT,4,$D$66)</f>
        <v>39754.807259076697</v>
      </c>
      <c r="I68" s="880"/>
      <c r="J68" s="844"/>
      <c r="K68" s="892"/>
      <c r="L68" s="892"/>
      <c r="M68" s="892"/>
      <c r="N68" s="892"/>
      <c r="P68" s="899"/>
      <c r="Q68" s="900"/>
      <c r="R68" s="900"/>
      <c r="S68" s="900"/>
      <c r="T68" s="900"/>
    </row>
    <row r="69" spans="2:22" ht="15" thickBot="1">
      <c r="B69" s="879"/>
      <c r="C69" s="878"/>
      <c r="D69" s="880"/>
      <c r="E69" s="880"/>
      <c r="F69" s="880"/>
      <c r="G69" s="880"/>
      <c r="H69" s="880"/>
      <c r="I69" s="880"/>
      <c r="J69" s="899"/>
      <c r="K69" s="900"/>
      <c r="L69" s="900"/>
      <c r="M69" s="900"/>
      <c r="N69" s="900"/>
      <c r="P69" s="899"/>
      <c r="Q69" s="900"/>
      <c r="R69" s="900"/>
      <c r="S69" s="900"/>
      <c r="T69" s="900"/>
      <c r="U69" s="892"/>
    </row>
    <row r="70" spans="2:22" ht="15" thickBot="1">
      <c r="B70" s="637" t="s">
        <v>524</v>
      </c>
      <c r="C70" s="848"/>
      <c r="D70" s="848"/>
      <c r="E70" s="848" t="s">
        <v>351</v>
      </c>
      <c r="F70" s="848" t="s">
        <v>350</v>
      </c>
      <c r="G70" s="848" t="s">
        <v>349</v>
      </c>
      <c r="H70" s="848" t="s">
        <v>348</v>
      </c>
      <c r="J70" s="899"/>
      <c r="K70" s="900"/>
      <c r="L70" s="900"/>
      <c r="M70" s="900"/>
      <c r="N70" s="900"/>
      <c r="O70" s="892"/>
      <c r="V70" s="892"/>
    </row>
    <row r="71" spans="2:22" ht="3.75" customHeight="1">
      <c r="B71" s="901"/>
      <c r="C71" s="890"/>
      <c r="D71" s="902"/>
      <c r="E71" s="891"/>
      <c r="F71" s="891"/>
      <c r="G71" s="891"/>
      <c r="H71" s="891"/>
      <c r="P71" s="903"/>
      <c r="Q71" s="904"/>
      <c r="R71" s="904"/>
      <c r="S71" s="904"/>
      <c r="T71" s="904"/>
    </row>
    <row r="72" spans="2:22">
      <c r="B72" s="905" t="s">
        <v>525</v>
      </c>
      <c r="C72" s="894" t="s">
        <v>49</v>
      </c>
      <c r="D72" s="895"/>
      <c r="E72" s="906">
        <f>E65</f>
        <v>59710.15284095009</v>
      </c>
      <c r="F72" s="906">
        <f>F65</f>
        <v>58495.249399694731</v>
      </c>
      <c r="G72" s="906">
        <f>G65</f>
        <v>57227.845958439357</v>
      </c>
      <c r="H72" s="906">
        <f>H65</f>
        <v>55907.942517183998</v>
      </c>
      <c r="I72" s="631"/>
      <c r="J72" s="907"/>
      <c r="K72" s="907"/>
      <c r="L72" s="907"/>
      <c r="M72" s="907"/>
      <c r="N72" s="908"/>
      <c r="P72" s="903"/>
      <c r="Q72" s="904"/>
      <c r="R72" s="904"/>
      <c r="S72" s="904"/>
      <c r="T72" s="904"/>
    </row>
    <row r="73" spans="2:22" ht="3" customHeight="1">
      <c r="B73" s="905"/>
      <c r="C73" s="894"/>
      <c r="D73" s="909"/>
      <c r="E73" s="906"/>
      <c r="F73" s="906"/>
      <c r="G73" s="906"/>
      <c r="H73" s="906"/>
      <c r="J73" s="907"/>
      <c r="K73" s="907"/>
      <c r="L73" s="907"/>
      <c r="M73" s="907"/>
      <c r="N73" s="908"/>
      <c r="P73" s="844"/>
      <c r="Q73" s="892"/>
      <c r="R73" s="892"/>
      <c r="S73" s="892"/>
      <c r="T73" s="892"/>
      <c r="U73" s="892"/>
    </row>
    <row r="74" spans="2:22">
      <c r="B74" s="905" t="s">
        <v>526</v>
      </c>
      <c r="C74" s="894" t="s">
        <v>49</v>
      </c>
      <c r="D74" s="909"/>
      <c r="E74" s="906">
        <f>E66</f>
        <v>44753.727860347266</v>
      </c>
      <c r="F74" s="906">
        <f>F66</f>
        <v>40722.153909292043</v>
      </c>
      <c r="G74" s="906">
        <f>G66</f>
        <v>36690.579958236813</v>
      </c>
      <c r="H74" s="906">
        <f>H66</f>
        <v>35753.442279735209</v>
      </c>
      <c r="I74" s="631"/>
      <c r="J74" s="910"/>
      <c r="K74" s="910"/>
      <c r="L74" s="910"/>
      <c r="M74" s="910"/>
      <c r="N74" s="908"/>
      <c r="O74" s="892"/>
      <c r="V74" s="892"/>
    </row>
    <row r="75" spans="2:22" ht="14.25" customHeight="1">
      <c r="B75" s="905" t="s">
        <v>66</v>
      </c>
      <c r="C75" s="894" t="s">
        <v>49</v>
      </c>
      <c r="D75" s="909"/>
      <c r="E75" s="906">
        <f>(E58+F58)/2+E57</f>
        <v>5561.7300847445276</v>
      </c>
      <c r="F75" s="906">
        <f>(F58+G58)/2+F57</f>
        <v>10648.085135274387</v>
      </c>
      <c r="G75" s="906">
        <f>(G58+H58)/2+G57</f>
        <v>14379.296651681178</v>
      </c>
      <c r="H75" s="906">
        <f>(H58+I58)/2</f>
        <v>16641.254261202339</v>
      </c>
      <c r="I75" s="631"/>
      <c r="J75" s="631"/>
      <c r="K75" s="631"/>
      <c r="L75" s="631"/>
      <c r="M75" s="631"/>
      <c r="N75" s="908"/>
    </row>
    <row r="76" spans="2:22" ht="2.25" customHeight="1">
      <c r="B76" s="911"/>
      <c r="C76" s="894"/>
      <c r="D76" s="909"/>
      <c r="E76" s="895"/>
      <c r="F76" s="895"/>
      <c r="G76" s="895"/>
      <c r="H76" s="895"/>
      <c r="I76" s="631"/>
      <c r="J76" s="903"/>
      <c r="K76" s="904"/>
      <c r="L76" s="904"/>
      <c r="M76" s="904"/>
      <c r="N76" s="908"/>
      <c r="Q76" s="903"/>
      <c r="R76" s="904"/>
      <c r="S76" s="904"/>
      <c r="T76" s="904"/>
      <c r="U76" s="904"/>
    </row>
    <row r="77" spans="2:22" ht="14.4" thickBot="1">
      <c r="B77" s="905" t="s">
        <v>527</v>
      </c>
      <c r="C77" s="894" t="s">
        <v>49</v>
      </c>
      <c r="D77" s="909"/>
      <c r="E77" s="906">
        <f>([14]CND!E24+[14]CND!F24)/1000</f>
        <v>7194.4876766739999</v>
      </c>
      <c r="F77" s="906">
        <f>([14]CND!G24+[14]CND!H24)/1000</f>
        <v>10257.733911986001</v>
      </c>
      <c r="G77" s="906">
        <f>([14]CND!I24+[14]CND!J24)/1000</f>
        <v>12302.828632590998</v>
      </c>
      <c r="H77" s="906">
        <f>([14]CND!K24+[14]CND!L24)/1000</f>
        <v>12176.948264954</v>
      </c>
      <c r="I77" s="631"/>
      <c r="J77" s="631"/>
      <c r="K77" s="631"/>
      <c r="L77" s="631"/>
      <c r="M77" s="631"/>
      <c r="N77" s="908"/>
      <c r="Q77" s="903"/>
      <c r="R77" s="904"/>
      <c r="S77" s="904"/>
      <c r="T77" s="904"/>
      <c r="U77" s="904"/>
    </row>
    <row r="78" spans="2:22" ht="14.4" thickBot="1">
      <c r="B78" s="875" t="s">
        <v>347</v>
      </c>
      <c r="C78" s="912" t="s">
        <v>49</v>
      </c>
      <c r="D78" s="875"/>
      <c r="E78" s="877">
        <f>E72+E74+E75+E77</f>
        <v>117220.09846271589</v>
      </c>
      <c r="F78" s="877">
        <f>F72+F74+F75+F77</f>
        <v>120123.22235624716</v>
      </c>
      <c r="G78" s="877">
        <f>G72+G74+G75+G77</f>
        <v>120600.55120094835</v>
      </c>
      <c r="H78" s="877">
        <f>H72+H74+H75+H77</f>
        <v>120479.58732307555</v>
      </c>
      <c r="I78" s="631"/>
      <c r="J78" s="632"/>
      <c r="K78" s="632"/>
      <c r="L78" s="632"/>
      <c r="M78" s="632"/>
      <c r="N78" s="631"/>
    </row>
    <row r="79" spans="2:22" ht="14.4" thickBot="1">
      <c r="B79" s="879"/>
      <c r="C79" s="878"/>
      <c r="D79" s="878"/>
      <c r="E79" s="880"/>
      <c r="F79" s="880"/>
      <c r="G79" s="880"/>
      <c r="H79" s="880"/>
      <c r="I79" s="880"/>
      <c r="K79" s="892"/>
    </row>
    <row r="80" spans="2:22" ht="15.75" customHeight="1" thickBot="1">
      <c r="B80" s="1162" t="s">
        <v>73</v>
      </c>
      <c r="C80" s="1163"/>
      <c r="D80" s="1164"/>
      <c r="E80" s="913" t="str">
        <f>+E70</f>
        <v>jul21-jun22</v>
      </c>
      <c r="F80" s="848" t="str">
        <f>+F70</f>
        <v>jul22-jun23</v>
      </c>
      <c r="G80" s="848" t="str">
        <f>+G70</f>
        <v>jul23-jun24</v>
      </c>
      <c r="H80" s="848" t="str">
        <f>+H70</f>
        <v>jul24-jun25</v>
      </c>
      <c r="I80" s="914"/>
    </row>
    <row r="81" spans="2:14" ht="15" customHeight="1" thickBot="1">
      <c r="B81" s="1165"/>
      <c r="C81" s="1166"/>
      <c r="D81" s="1167"/>
      <c r="E81" s="915">
        <f>1/(1+RRT)^0.5</f>
        <v>0.96538409413446868</v>
      </c>
      <c r="F81" s="916">
        <f>E81/(1+RRT)</f>
        <v>0.89970558633221687</v>
      </c>
      <c r="G81" s="916">
        <f>F81/(1+RRT)</f>
        <v>0.83849542062648363</v>
      </c>
      <c r="H81" s="917">
        <f>G81/(1+RRT)</f>
        <v>0.78144959983828866</v>
      </c>
      <c r="I81" s="880"/>
      <c r="J81" s="635"/>
      <c r="K81" s="634"/>
    </row>
    <row r="82" spans="2:14" ht="9.75" customHeight="1" thickBot="1">
      <c r="B82" s="879"/>
      <c r="C82" s="878"/>
      <c r="D82" s="878"/>
      <c r="E82" s="880"/>
      <c r="F82" s="918"/>
      <c r="G82" s="880"/>
      <c r="H82" s="880"/>
      <c r="I82" s="880"/>
      <c r="J82" s="633"/>
      <c r="K82" s="632"/>
      <c r="L82" s="892"/>
      <c r="M82" s="892"/>
    </row>
    <row r="83" spans="2:14" ht="14.4" thickBot="1">
      <c r="B83" s="637" t="s">
        <v>353</v>
      </c>
      <c r="C83" s="848"/>
      <c r="D83" s="848" t="s">
        <v>352</v>
      </c>
      <c r="E83" s="848" t="s">
        <v>351</v>
      </c>
      <c r="F83" s="848" t="s">
        <v>350</v>
      </c>
      <c r="G83" s="848" t="s">
        <v>349</v>
      </c>
      <c r="H83" s="848" t="s">
        <v>348</v>
      </c>
      <c r="I83" s="634"/>
      <c r="J83" s="633"/>
      <c r="K83" s="632"/>
      <c r="L83" s="892"/>
    </row>
    <row r="84" spans="2:14" ht="7.5" customHeight="1">
      <c r="B84" s="901"/>
      <c r="C84" s="890"/>
      <c r="D84" s="902"/>
      <c r="E84" s="891"/>
      <c r="F84" s="891"/>
      <c r="G84" s="891"/>
      <c r="H84" s="891"/>
      <c r="I84" s="631"/>
      <c r="J84" s="869"/>
      <c r="K84" s="632"/>
      <c r="L84" s="892"/>
      <c r="M84" s="892"/>
    </row>
    <row r="85" spans="2:14">
      <c r="B85" s="905" t="s">
        <v>525</v>
      </c>
      <c r="C85" s="894" t="s">
        <v>49</v>
      </c>
      <c r="D85" s="906">
        <f>SUM(E85:H85)</f>
        <v>201946.26054609759</v>
      </c>
      <c r="E85" s="906">
        <f>E72*E$81</f>
        <v>57643.231810991274</v>
      </c>
      <c r="F85" s="906">
        <f>F72*F$81</f>
        <v>52628.502658801604</v>
      </c>
      <c r="G85" s="906">
        <f>G72*G$81</f>
        <v>47985.286768469217</v>
      </c>
      <c r="H85" s="906">
        <f>H72*H$81</f>
        <v>43689.23930783548</v>
      </c>
      <c r="I85" s="631"/>
      <c r="J85" s="631"/>
      <c r="L85" s="631"/>
    </row>
    <row r="86" spans="2:14">
      <c r="B86" s="905" t="s">
        <v>526</v>
      </c>
      <c r="C86" s="894" t="s">
        <v>49</v>
      </c>
      <c r="D86" s="906">
        <f>SUM(E86:H86)</f>
        <v>138546.88282672409</v>
      </c>
      <c r="E86" s="906">
        <f t="shared" ref="E86:H87" si="4">E74*E$81</f>
        <v>43204.537029601881</v>
      </c>
      <c r="F86" s="906">
        <f t="shared" si="4"/>
        <v>36637.949359670376</v>
      </c>
      <c r="G86" s="906">
        <f t="shared" si="4"/>
        <v>30764.883275111406</v>
      </c>
      <c r="H86" s="906">
        <f t="shared" si="4"/>
        <v>27939.51316234043</v>
      </c>
      <c r="L86" s="892"/>
      <c r="M86" s="892"/>
    </row>
    <row r="87" spans="2:14">
      <c r="B87" s="919" t="s">
        <v>66</v>
      </c>
      <c r="C87" s="920" t="s">
        <v>49</v>
      </c>
      <c r="D87" s="921">
        <f>SUM(E87:H87)</f>
        <v>40010.623317117104</v>
      </c>
      <c r="E87" s="921">
        <f t="shared" si="4"/>
        <v>5369.2057596815175</v>
      </c>
      <c r="F87" s="921">
        <f t="shared" si="4"/>
        <v>9580.1416799474046</v>
      </c>
      <c r="G87" s="921">
        <f t="shared" si="4"/>
        <v>12056.974394264396</v>
      </c>
      <c r="H87" s="921">
        <f t="shared" si="4"/>
        <v>13004.301483223784</v>
      </c>
      <c r="I87" s="922"/>
      <c r="J87" s="631"/>
      <c r="L87" s="892"/>
    </row>
    <row r="88" spans="2:14" ht="4.5" customHeight="1">
      <c r="B88" s="911"/>
      <c r="C88" s="894"/>
      <c r="D88" s="895"/>
      <c r="E88" s="895"/>
      <c r="F88" s="895"/>
      <c r="G88" s="895"/>
      <c r="H88" s="895"/>
      <c r="I88" s="631"/>
      <c r="L88" s="892"/>
      <c r="M88" s="892"/>
    </row>
    <row r="89" spans="2:14" ht="14.4" thickBot="1">
      <c r="B89" s="905" t="s">
        <v>528</v>
      </c>
      <c r="C89" s="894" t="s">
        <v>49</v>
      </c>
      <c r="D89" s="906">
        <f>SUM(E89:H89)</f>
        <v>36005.921290310536</v>
      </c>
      <c r="E89" s="906">
        <f>E77*E$81</f>
        <v>6945.4439685075276</v>
      </c>
      <c r="F89" s="906">
        <f>F77*F$81</f>
        <v>9228.94050372323</v>
      </c>
      <c r="G89" s="906">
        <f>G77*G$81</f>
        <v>10315.865469179935</v>
      </c>
      <c r="H89" s="906">
        <f>H77*H$81</f>
        <v>9515.6713488998466</v>
      </c>
      <c r="I89" s="631"/>
    </row>
    <row r="90" spans="2:14" ht="14.4" thickBot="1">
      <c r="B90" s="923" t="s">
        <v>347</v>
      </c>
      <c r="C90" s="924" t="s">
        <v>49</v>
      </c>
      <c r="D90" s="925">
        <f>SUM(E90:H90)</f>
        <v>416509.68798024935</v>
      </c>
      <c r="E90" s="925">
        <f>E85+E86+E87+E89</f>
        <v>113162.4185687822</v>
      </c>
      <c r="F90" s="925">
        <f t="shared" ref="F90:H90" si="5">F85+F86+F87+F89</f>
        <v>108075.53420214263</v>
      </c>
      <c r="G90" s="925">
        <f t="shared" si="5"/>
        <v>101123.00990702496</v>
      </c>
      <c r="H90" s="925">
        <f t="shared" si="5"/>
        <v>94148.725302299543</v>
      </c>
    </row>
    <row r="91" spans="2:14" ht="10.5" customHeight="1" thickBot="1">
      <c r="L91" s="629"/>
      <c r="M91" s="629"/>
      <c r="N91" s="629"/>
    </row>
    <row r="92" spans="2:14" ht="14.4" thickBot="1">
      <c r="B92" s="637" t="s">
        <v>529</v>
      </c>
      <c r="C92" s="848"/>
      <c r="D92" s="848"/>
      <c r="E92" s="848" t="s">
        <v>351</v>
      </c>
      <c r="F92" s="848" t="s">
        <v>350</v>
      </c>
      <c r="G92" s="848" t="s">
        <v>349</v>
      </c>
      <c r="H92" s="848" t="s">
        <v>348</v>
      </c>
      <c r="L92" s="629"/>
      <c r="M92" s="629"/>
      <c r="N92" s="629"/>
    </row>
    <row r="93" spans="2:14" ht="7.5" customHeight="1">
      <c r="B93" s="901"/>
      <c r="C93" s="890"/>
      <c r="D93" s="902"/>
      <c r="E93" s="891"/>
      <c r="F93" s="891"/>
      <c r="G93" s="891"/>
      <c r="H93" s="891"/>
      <c r="J93" s="926"/>
      <c r="K93" s="926"/>
      <c r="L93" s="926"/>
      <c r="M93" s="926"/>
      <c r="N93" s="629"/>
    </row>
    <row r="94" spans="2:14">
      <c r="B94" s="905" t="s">
        <v>525</v>
      </c>
      <c r="C94" s="894" t="s">
        <v>49</v>
      </c>
      <c r="D94" s="895"/>
      <c r="E94" s="906">
        <f>E72</f>
        <v>59710.15284095009</v>
      </c>
      <c r="F94" s="906">
        <f>F72</f>
        <v>58495.249399694731</v>
      </c>
      <c r="G94" s="906">
        <f>G72</f>
        <v>57227.845958439357</v>
      </c>
      <c r="H94" s="906">
        <f>H72</f>
        <v>55907.942517183998</v>
      </c>
      <c r="I94" s="885"/>
      <c r="J94" s="926"/>
      <c r="K94" s="926"/>
      <c r="L94" s="926"/>
      <c r="M94" s="926"/>
      <c r="N94" s="629"/>
    </row>
    <row r="95" spans="2:14">
      <c r="B95" s="927" t="s">
        <v>530</v>
      </c>
      <c r="C95" s="928" t="s">
        <v>49</v>
      </c>
      <c r="D95" s="929"/>
      <c r="E95" s="929">
        <v>3893.52</v>
      </c>
      <c r="F95" s="906"/>
      <c r="G95" s="906"/>
      <c r="H95" s="906"/>
      <c r="I95" s="885"/>
      <c r="J95" s="926"/>
      <c r="L95" s="629"/>
      <c r="M95" s="629"/>
      <c r="N95" s="629"/>
    </row>
    <row r="96" spans="2:14" ht="7.5" customHeight="1">
      <c r="B96" s="905"/>
      <c r="C96" s="894"/>
      <c r="D96" s="909"/>
      <c r="E96" s="906"/>
      <c r="F96" s="906"/>
      <c r="G96" s="906"/>
      <c r="H96" s="906"/>
      <c r="L96" s="629"/>
      <c r="M96" s="629"/>
      <c r="N96" s="629"/>
    </row>
    <row r="97" spans="2:15">
      <c r="B97" s="905" t="s">
        <v>526</v>
      </c>
      <c r="C97" s="894" t="s">
        <v>49</v>
      </c>
      <c r="D97" s="909"/>
      <c r="E97" s="906">
        <f>E74</f>
        <v>44753.727860347266</v>
      </c>
      <c r="F97" s="906">
        <f>F74</f>
        <v>40722.153909292043</v>
      </c>
      <c r="G97" s="906">
        <f>G74</f>
        <v>36690.579958236813</v>
      </c>
      <c r="H97" s="906">
        <f>H74</f>
        <v>35753.442279735209</v>
      </c>
      <c r="L97" s="629"/>
      <c r="M97" s="629"/>
      <c r="N97" s="629"/>
    </row>
    <row r="98" spans="2:15">
      <c r="B98" s="927" t="s">
        <v>531</v>
      </c>
      <c r="C98" s="894" t="s">
        <v>49</v>
      </c>
      <c r="D98" s="909"/>
      <c r="E98" s="930">
        <v>3547.8049999999998</v>
      </c>
      <c r="F98" s="906"/>
      <c r="G98" s="906"/>
      <c r="H98" s="906"/>
      <c r="L98" s="931"/>
      <c r="M98" s="931"/>
      <c r="N98" s="931"/>
    </row>
    <row r="99" spans="2:15">
      <c r="B99" s="919" t="s">
        <v>66</v>
      </c>
      <c r="C99" s="920" t="s">
        <v>49</v>
      </c>
      <c r="D99" s="932"/>
      <c r="E99" s="921">
        <f>E75</f>
        <v>5561.7300847445276</v>
      </c>
      <c r="F99" s="921">
        <f>F75</f>
        <v>10648.085135274387</v>
      </c>
      <c r="G99" s="921">
        <f>G75</f>
        <v>14379.296651681178</v>
      </c>
      <c r="H99" s="921">
        <f>H75</f>
        <v>16641.254261202339</v>
      </c>
      <c r="L99" s="628"/>
      <c r="M99" s="628"/>
      <c r="N99" s="628"/>
    </row>
    <row r="100" spans="2:15" ht="6.75" customHeight="1">
      <c r="B100" s="905"/>
      <c r="C100" s="894"/>
      <c r="D100" s="909"/>
      <c r="E100" s="895"/>
      <c r="F100" s="895"/>
      <c r="G100" s="895"/>
      <c r="H100" s="895"/>
      <c r="L100" s="629"/>
      <c r="M100" s="629"/>
      <c r="N100" s="629"/>
    </row>
    <row r="101" spans="2:15">
      <c r="B101" s="905" t="s">
        <v>527</v>
      </c>
      <c r="C101" s="894" t="s">
        <v>49</v>
      </c>
      <c r="D101" s="909"/>
      <c r="E101" s="906">
        <f>E77</f>
        <v>7194.4876766739999</v>
      </c>
      <c r="F101" s="906">
        <f t="shared" ref="F101:H101" si="6">F77</f>
        <v>10257.733911986001</v>
      </c>
      <c r="G101" s="906">
        <f t="shared" si="6"/>
        <v>12302.828632590998</v>
      </c>
      <c r="H101" s="906">
        <f t="shared" si="6"/>
        <v>12176.948264954</v>
      </c>
      <c r="L101" s="629"/>
      <c r="M101" s="629"/>
      <c r="N101" s="629"/>
    </row>
    <row r="102" spans="2:15">
      <c r="B102" s="933" t="s">
        <v>532</v>
      </c>
      <c r="C102" s="894" t="s">
        <v>49</v>
      </c>
      <c r="D102" s="909"/>
      <c r="E102" s="929">
        <f>-1046982/1000</f>
        <v>-1046.982</v>
      </c>
      <c r="F102" s="895"/>
      <c r="G102" s="895"/>
      <c r="H102" s="895"/>
      <c r="L102" s="629"/>
      <c r="M102" s="629"/>
      <c r="N102" s="629"/>
    </row>
    <row r="103" spans="2:15" ht="14.4" thickBot="1">
      <c r="B103" s="934" t="s">
        <v>533</v>
      </c>
      <c r="C103" s="935" t="s">
        <v>49</v>
      </c>
      <c r="D103" s="936"/>
      <c r="E103" s="937">
        <f>SUM(E101:E102)</f>
        <v>6147.5056766739999</v>
      </c>
      <c r="F103" s="937">
        <f>SUM(F101:F101)</f>
        <v>10257.733911986001</v>
      </c>
      <c r="G103" s="937">
        <f>SUM(G101:G101)</f>
        <v>12302.828632590998</v>
      </c>
      <c r="H103" s="937">
        <f>SUM(H101:H101)</f>
        <v>12176.948264954</v>
      </c>
      <c r="L103" s="629"/>
      <c r="M103" s="629"/>
      <c r="N103" s="629"/>
    </row>
    <row r="104" spans="2:15" ht="14.4" thickBot="1">
      <c r="B104" s="875" t="s">
        <v>347</v>
      </c>
      <c r="C104" s="912" t="s">
        <v>49</v>
      </c>
      <c r="D104" s="875"/>
      <c r="E104" s="877">
        <f>E94+E95+E97+E98+E99+E103</f>
        <v>123614.44146271588</v>
      </c>
      <c r="F104" s="877">
        <f>F94+F95+F97+F98+F99+F103</f>
        <v>120123.22235624716</v>
      </c>
      <c r="G104" s="877">
        <f>G94+G95+G97+G98+G99+G103</f>
        <v>120600.55120094835</v>
      </c>
      <c r="H104" s="877">
        <f>H94+H95+H97+H98+H99+H103</f>
        <v>120479.58732307555</v>
      </c>
      <c r="L104" s="629"/>
      <c r="M104" s="629"/>
      <c r="N104" s="629"/>
    </row>
    <row r="105" spans="2:15">
      <c r="L105" s="628"/>
      <c r="M105" s="628"/>
      <c r="N105" s="628"/>
    </row>
    <row r="106" spans="2:15">
      <c r="L106" s="627"/>
      <c r="M106" s="627"/>
      <c r="N106" s="627"/>
    </row>
    <row r="107" spans="2:15">
      <c r="L107" s="627"/>
      <c r="M107" s="627"/>
      <c r="N107" s="627"/>
      <c r="O107" s="931"/>
    </row>
    <row r="108" spans="2:15">
      <c r="L108" s="931"/>
      <c r="M108" s="931"/>
      <c r="N108" s="931"/>
    </row>
    <row r="109" spans="2:15">
      <c r="L109" s="628"/>
      <c r="M109" s="628"/>
      <c r="N109" s="628"/>
    </row>
    <row r="110" spans="2:15">
      <c r="L110" s="627"/>
      <c r="M110" s="627"/>
      <c r="N110" s="627"/>
    </row>
    <row r="111" spans="2:15">
      <c r="L111" s="627"/>
      <c r="M111" s="627"/>
      <c r="N111" s="627"/>
    </row>
    <row r="112" spans="2:15">
      <c r="B112" s="1158"/>
      <c r="C112" s="1158"/>
      <c r="D112" s="1158"/>
      <c r="E112" s="1158"/>
      <c r="F112" s="1158"/>
      <c r="G112" s="1158"/>
      <c r="H112" s="1158"/>
      <c r="I112" s="1158"/>
    </row>
    <row r="113" spans="2:11">
      <c r="B113" s="1158"/>
      <c r="C113" s="1158"/>
      <c r="D113" s="1158"/>
      <c r="E113" s="1158"/>
      <c r="F113" s="1158"/>
      <c r="G113" s="1158"/>
      <c r="H113" s="1158"/>
      <c r="I113" s="1158"/>
    </row>
    <row r="114" spans="2:11">
      <c r="B114" s="1158"/>
      <c r="C114" s="1158"/>
      <c r="D114" s="1158"/>
      <c r="E114" s="1158"/>
      <c r="F114" s="1158"/>
      <c r="G114" s="1158"/>
      <c r="H114" s="1158"/>
      <c r="I114" s="1158"/>
    </row>
    <row r="115" spans="2:11" ht="3" customHeight="1">
      <c r="B115" s="869"/>
    </row>
    <row r="116" spans="2:11" ht="3" customHeight="1">
      <c r="B116" s="869"/>
    </row>
    <row r="117" spans="2:11">
      <c r="B117" s="938"/>
      <c r="C117" s="939"/>
      <c r="D117" s="939"/>
      <c r="E117" s="938"/>
      <c r="F117" s="938"/>
      <c r="G117" s="938"/>
      <c r="H117" s="938"/>
      <c r="I117" s="938"/>
    </row>
    <row r="118" spans="2:11">
      <c r="B118" s="940"/>
      <c r="C118" s="939"/>
      <c r="D118" s="939"/>
      <c r="E118" s="939"/>
      <c r="F118" s="941"/>
      <c r="G118" s="941"/>
      <c r="H118" s="941"/>
      <c r="I118" s="941"/>
    </row>
    <row r="119" spans="2:11">
      <c r="B119" s="939"/>
      <c r="C119" s="939"/>
      <c r="D119" s="939"/>
      <c r="E119" s="623"/>
      <c r="F119" s="623"/>
      <c r="G119" s="623"/>
      <c r="H119" s="623"/>
      <c r="I119" s="623"/>
      <c r="J119" s="616"/>
      <c r="K119" s="616"/>
    </row>
    <row r="120" spans="2:11">
      <c r="B120" s="942"/>
      <c r="C120" s="939"/>
      <c r="D120" s="939"/>
      <c r="E120" s="623"/>
      <c r="F120" s="623"/>
      <c r="G120" s="623"/>
      <c r="H120" s="623"/>
      <c r="I120" s="623"/>
      <c r="J120" s="616"/>
      <c r="K120" s="616"/>
    </row>
    <row r="121" spans="2:11">
      <c r="B121" s="939"/>
      <c r="C121" s="939"/>
      <c r="D121" s="939"/>
      <c r="E121" s="623"/>
      <c r="F121" s="623"/>
      <c r="G121" s="623"/>
      <c r="H121" s="623"/>
      <c r="I121" s="623"/>
      <c r="J121" s="616"/>
      <c r="K121" s="616"/>
    </row>
    <row r="122" spans="2:11">
      <c r="B122" s="939"/>
      <c r="C122" s="939"/>
      <c r="D122" s="939"/>
      <c r="E122" s="623"/>
      <c r="F122" s="623"/>
      <c r="G122" s="623"/>
      <c r="H122" s="623"/>
      <c r="I122" s="623"/>
      <c r="J122" s="616"/>
      <c r="K122" s="616"/>
    </row>
    <row r="123" spans="2:11">
      <c r="B123" s="939"/>
      <c r="C123" s="939"/>
      <c r="D123" s="939"/>
      <c r="E123" s="623"/>
      <c r="F123" s="623"/>
      <c r="G123" s="623"/>
      <c r="H123" s="623"/>
      <c r="I123" s="623"/>
      <c r="J123" s="616"/>
      <c r="K123" s="616"/>
    </row>
    <row r="124" spans="2:11">
      <c r="B124" s="939"/>
      <c r="C124" s="939"/>
      <c r="D124" s="939"/>
      <c r="E124" s="623"/>
      <c r="F124" s="623"/>
      <c r="G124" s="623"/>
      <c r="H124" s="623"/>
      <c r="I124" s="623"/>
      <c r="J124" s="616"/>
      <c r="K124" s="616"/>
    </row>
    <row r="125" spans="2:11">
      <c r="B125" s="939"/>
      <c r="C125" s="939"/>
      <c r="D125" s="939"/>
      <c r="E125" s="939"/>
      <c r="F125" s="939"/>
      <c r="G125" s="939"/>
      <c r="H125" s="939"/>
      <c r="I125" s="939"/>
    </row>
    <row r="126" spans="2:11">
      <c r="B126" s="940"/>
      <c r="C126" s="939"/>
      <c r="D126" s="939"/>
      <c r="E126" s="938"/>
      <c r="F126" s="938"/>
      <c r="G126" s="938"/>
      <c r="H126" s="938"/>
      <c r="I126" s="938"/>
    </row>
    <row r="127" spans="2:11">
      <c r="B127" s="940"/>
      <c r="C127" s="939"/>
      <c r="D127" s="939"/>
      <c r="E127" s="623"/>
      <c r="F127" s="623"/>
      <c r="G127" s="623"/>
      <c r="H127" s="623"/>
      <c r="I127" s="623"/>
    </row>
    <row r="128" spans="2:11">
      <c r="B128" s="943"/>
      <c r="C128" s="939"/>
      <c r="D128" s="939"/>
      <c r="E128" s="623"/>
      <c r="F128" s="623"/>
      <c r="G128" s="623"/>
      <c r="H128" s="623"/>
      <c r="I128" s="623"/>
      <c r="J128" s="616"/>
      <c r="K128" s="616"/>
    </row>
    <row r="129" spans="2:15">
      <c r="B129" s="940"/>
      <c r="C129" s="939"/>
      <c r="D129" s="939"/>
      <c r="E129" s="623"/>
      <c r="F129" s="623"/>
      <c r="G129" s="623"/>
      <c r="H129" s="623"/>
      <c r="I129" s="623"/>
    </row>
    <row r="130" spans="2:15">
      <c r="B130" s="940"/>
      <c r="C130" s="939"/>
      <c r="D130" s="939"/>
      <c r="E130" s="623"/>
      <c r="F130" s="623"/>
      <c r="G130" s="623"/>
      <c r="H130" s="623"/>
      <c r="I130" s="623"/>
    </row>
    <row r="131" spans="2:15">
      <c r="B131" s="939"/>
      <c r="C131" s="939"/>
      <c r="D131" s="939"/>
      <c r="E131" s="623"/>
      <c r="F131" s="623"/>
      <c r="G131" s="623"/>
      <c r="H131" s="623"/>
      <c r="I131" s="623"/>
      <c r="J131" s="874"/>
      <c r="K131" s="874"/>
    </row>
    <row r="132" spans="2:15">
      <c r="B132" s="939"/>
      <c r="C132" s="939"/>
      <c r="D132" s="939"/>
      <c r="E132" s="623"/>
      <c r="F132" s="623"/>
      <c r="G132" s="623"/>
      <c r="H132" s="623"/>
      <c r="I132" s="623"/>
    </row>
    <row r="133" spans="2:15">
      <c r="B133" s="939"/>
      <c r="C133" s="939"/>
      <c r="D133" s="939"/>
      <c r="E133" s="939"/>
      <c r="F133" s="939"/>
      <c r="G133" s="939"/>
      <c r="H133" s="939"/>
      <c r="I133" s="939"/>
    </row>
    <row r="134" spans="2:15">
      <c r="B134" s="940"/>
      <c r="C134" s="939"/>
      <c r="D134" s="939"/>
      <c r="E134" s="626"/>
      <c r="F134" s="626"/>
      <c r="G134" s="626"/>
      <c r="H134" s="626"/>
      <c r="I134" s="626"/>
      <c r="M134" s="869"/>
      <c r="N134" s="869"/>
      <c r="O134" s="869"/>
    </row>
    <row r="135" spans="2:15">
      <c r="B135" s="939"/>
      <c r="C135" s="939"/>
      <c r="D135" s="939"/>
      <c r="E135" s="939"/>
      <c r="F135" s="939"/>
      <c r="G135" s="939"/>
      <c r="H135" s="939"/>
      <c r="I135" s="939"/>
      <c r="M135" s="869"/>
      <c r="N135" s="869"/>
      <c r="O135" s="869"/>
    </row>
    <row r="136" spans="2:15">
      <c r="B136" s="940"/>
      <c r="C136" s="939"/>
      <c r="D136" s="938"/>
      <c r="E136" s="939"/>
      <c r="F136" s="939"/>
      <c r="G136" s="939"/>
      <c r="H136" s="944"/>
      <c r="I136" s="944"/>
      <c r="M136" s="945"/>
      <c r="N136" s="945"/>
      <c r="O136" s="945"/>
    </row>
    <row r="137" spans="2:15">
      <c r="B137" s="940"/>
      <c r="C137" s="939"/>
      <c r="D137" s="625"/>
      <c r="E137" s="946"/>
      <c r="F137" s="946"/>
      <c r="G137" s="946"/>
      <c r="H137" s="946"/>
      <c r="I137" s="947"/>
      <c r="M137" s="948"/>
      <c r="N137" s="948"/>
      <c r="O137" s="948"/>
    </row>
    <row r="138" spans="2:15">
      <c r="B138" s="949"/>
      <c r="C138" s="939"/>
      <c r="D138" s="624"/>
      <c r="E138" s="950"/>
      <c r="F138" s="950"/>
      <c r="G138" s="950"/>
      <c r="H138" s="950"/>
      <c r="I138" s="947"/>
      <c r="M138" s="948"/>
      <c r="N138" s="948"/>
      <c r="O138" s="948"/>
    </row>
    <row r="139" spans="2:15">
      <c r="B139" s="949"/>
      <c r="C139" s="939"/>
      <c r="D139" s="624"/>
      <c r="E139" s="950"/>
      <c r="F139" s="950"/>
      <c r="G139" s="950"/>
      <c r="H139" s="950"/>
      <c r="I139" s="947"/>
      <c r="M139" s="948"/>
      <c r="N139" s="948"/>
      <c r="O139" s="948"/>
    </row>
    <row r="140" spans="2:15" ht="13.5" customHeight="1">
      <c r="B140" s="943"/>
      <c r="C140" s="939"/>
      <c r="D140" s="622"/>
      <c r="E140" s="946"/>
      <c r="F140" s="946"/>
      <c r="G140" s="946"/>
      <c r="H140" s="946"/>
      <c r="I140" s="947"/>
      <c r="M140" s="948"/>
      <c r="N140" s="948"/>
      <c r="O140" s="948"/>
    </row>
    <row r="141" spans="2:15">
      <c r="B141" s="949"/>
      <c r="C141" s="939"/>
      <c r="D141" s="622"/>
      <c r="E141" s="946"/>
      <c r="F141" s="946"/>
      <c r="G141" s="946"/>
      <c r="H141" s="946"/>
      <c r="I141" s="947"/>
      <c r="M141" s="948"/>
      <c r="N141" s="948"/>
      <c r="O141" s="948"/>
    </row>
    <row r="142" spans="2:15">
      <c r="B142" s="940"/>
      <c r="C142" s="939"/>
      <c r="D142" s="622"/>
      <c r="E142" s="947"/>
      <c r="F142" s="947"/>
      <c r="G142" s="947"/>
      <c r="H142" s="947"/>
      <c r="I142" s="947"/>
      <c r="M142" s="951"/>
      <c r="N142" s="951"/>
      <c r="O142" s="951"/>
    </row>
    <row r="143" spans="2:15">
      <c r="B143" s="940"/>
      <c r="C143" s="939"/>
      <c r="D143" s="622"/>
      <c r="E143" s="947"/>
      <c r="F143" s="947"/>
      <c r="G143" s="947"/>
      <c r="H143" s="947"/>
      <c r="I143" s="947"/>
      <c r="M143" s="948"/>
      <c r="N143" s="948"/>
      <c r="O143" s="948"/>
    </row>
    <row r="144" spans="2:15">
      <c r="B144" s="949"/>
      <c r="C144" s="939"/>
      <c r="D144" s="623"/>
      <c r="E144" s="947"/>
      <c r="F144" s="947"/>
      <c r="G144" s="947"/>
      <c r="H144" s="947"/>
      <c r="I144" s="947"/>
      <c r="M144" s="617"/>
      <c r="N144" s="617"/>
      <c r="O144" s="617"/>
    </row>
    <row r="145" spans="1:15">
      <c r="B145" s="949"/>
      <c r="C145" s="939"/>
      <c r="D145" s="623"/>
      <c r="E145" s="947"/>
      <c r="F145" s="947"/>
      <c r="G145" s="947"/>
      <c r="H145" s="947"/>
      <c r="I145" s="947"/>
    </row>
    <row r="146" spans="1:15">
      <c r="B146" s="940"/>
      <c r="C146" s="939"/>
      <c r="D146" s="622"/>
      <c r="E146" s="952"/>
      <c r="F146" s="952"/>
      <c r="G146" s="952"/>
      <c r="H146" s="952"/>
      <c r="I146" s="952"/>
      <c r="M146" s="953"/>
      <c r="N146" s="953"/>
      <c r="O146" s="953"/>
    </row>
    <row r="147" spans="1:15">
      <c r="B147" s="869"/>
      <c r="D147" s="631"/>
      <c r="E147" s="954"/>
      <c r="G147" s="954"/>
      <c r="H147" s="954"/>
      <c r="I147" s="954"/>
    </row>
    <row r="148" spans="1:15">
      <c r="I148" s="631"/>
    </row>
    <row r="149" spans="1:15">
      <c r="E149" s="631"/>
      <c r="F149" s="631"/>
      <c r="G149" s="631"/>
      <c r="H149" s="631"/>
      <c r="I149" s="631"/>
    </row>
    <row r="150" spans="1:15">
      <c r="D150" s="615"/>
      <c r="E150" s="869"/>
    </row>
    <row r="151" spans="1:15">
      <c r="F151" s="632"/>
      <c r="G151" s="632"/>
      <c r="H151" s="632"/>
      <c r="I151" s="632"/>
    </row>
    <row r="152" spans="1:15" ht="21" customHeight="1">
      <c r="B152" s="1159"/>
      <c r="C152" s="1160"/>
      <c r="F152" s="620"/>
      <c r="G152" s="620"/>
      <c r="H152" s="620"/>
      <c r="I152" s="620"/>
      <c r="M152" s="1158"/>
      <c r="N152" s="1158"/>
      <c r="O152" s="1158"/>
    </row>
    <row r="153" spans="1:15" ht="18.75" customHeight="1">
      <c r="B153" s="955"/>
      <c r="C153" s="956"/>
      <c r="D153" s="620"/>
      <c r="E153" s="620"/>
      <c r="F153" s="620"/>
      <c r="G153" s="620"/>
      <c r="M153" s="867"/>
      <c r="N153" s="867"/>
      <c r="O153" s="867"/>
    </row>
    <row r="154" spans="1:15" ht="18.75" customHeight="1">
      <c r="B154" s="955"/>
      <c r="C154" s="956"/>
      <c r="D154" s="620"/>
      <c r="E154" s="620"/>
      <c r="F154" s="620"/>
      <c r="G154" s="621"/>
      <c r="H154" s="869"/>
      <c r="I154" s="621"/>
      <c r="J154" s="869"/>
      <c r="K154" s="869"/>
      <c r="M154" s="867"/>
      <c r="N154" s="867"/>
      <c r="O154" s="867"/>
    </row>
    <row r="155" spans="1:15" ht="21" customHeight="1">
      <c r="B155" s="938"/>
      <c r="C155" s="957"/>
      <c r="D155" s="620"/>
      <c r="E155" s="620"/>
      <c r="F155" s="869"/>
      <c r="G155" s="631"/>
      <c r="H155" s="631"/>
      <c r="I155" s="631"/>
      <c r="J155" s="631"/>
      <c r="K155" s="631"/>
      <c r="M155" s="867"/>
      <c r="N155" s="867"/>
      <c r="O155" s="867"/>
    </row>
    <row r="156" spans="1:15">
      <c r="D156" s="620"/>
      <c r="E156" s="620"/>
      <c r="M156" s="867"/>
      <c r="N156" s="867"/>
      <c r="O156" s="867"/>
    </row>
    <row r="157" spans="1:15">
      <c r="G157" s="620"/>
      <c r="H157" s="869"/>
      <c r="I157" s="869"/>
      <c r="J157" s="869"/>
      <c r="K157" s="869"/>
      <c r="L157" s="948"/>
      <c r="M157" s="948"/>
      <c r="N157" s="948"/>
      <c r="O157" s="948"/>
    </row>
    <row r="158" spans="1:15">
      <c r="F158" s="869"/>
      <c r="G158" s="631"/>
      <c r="H158" s="631"/>
      <c r="I158" s="631"/>
      <c r="J158" s="631"/>
      <c r="K158" s="631"/>
      <c r="L158" s="948"/>
      <c r="M158" s="948"/>
      <c r="N158" s="948"/>
      <c r="O158" s="948"/>
    </row>
    <row r="159" spans="1:15">
      <c r="A159" s="958"/>
      <c r="B159" s="874"/>
      <c r="C159" s="874"/>
      <c r="D159" s="874"/>
      <c r="E159" s="874"/>
      <c r="F159" s="874"/>
      <c r="G159" s="874"/>
      <c r="H159" s="874"/>
      <c r="I159" s="874"/>
      <c r="J159" s="959"/>
      <c r="K159" s="959"/>
      <c r="L159" s="959"/>
      <c r="M159" s="959"/>
      <c r="N159" s="959"/>
      <c r="O159" s="959"/>
    </row>
    <row r="160" spans="1:15">
      <c r="E160" s="631"/>
      <c r="J160" s="948"/>
      <c r="K160" s="948"/>
      <c r="L160" s="948"/>
      <c r="M160" s="948"/>
      <c r="N160" s="948"/>
      <c r="O160" s="948"/>
    </row>
    <row r="161" spans="2:15">
      <c r="J161" s="948"/>
      <c r="K161" s="948"/>
      <c r="L161" s="948"/>
      <c r="M161" s="948"/>
      <c r="N161" s="948"/>
      <c r="O161" s="948"/>
    </row>
    <row r="162" spans="2:15">
      <c r="D162" s="631"/>
      <c r="I162" s="953"/>
      <c r="J162" s="948"/>
      <c r="K162" s="948"/>
      <c r="L162" s="948"/>
      <c r="M162" s="948"/>
      <c r="N162" s="948"/>
      <c r="O162" s="948"/>
    </row>
    <row r="164" spans="2:15">
      <c r="B164" s="869"/>
      <c r="C164" s="867"/>
      <c r="D164" s="867"/>
      <c r="E164" s="867"/>
      <c r="F164" s="867"/>
      <c r="G164" s="867"/>
      <c r="H164" s="867"/>
      <c r="I164" s="867"/>
    </row>
    <row r="165" spans="2:15">
      <c r="C165" s="960"/>
      <c r="D165" s="619"/>
      <c r="E165" s="619"/>
      <c r="F165" s="619"/>
      <c r="G165" s="619"/>
      <c r="H165" s="619"/>
      <c r="I165" s="619"/>
    </row>
    <row r="166" spans="2:15">
      <c r="C166" s="960"/>
      <c r="D166" s="619"/>
      <c r="E166" s="619"/>
      <c r="F166" s="619"/>
      <c r="G166" s="619"/>
      <c r="H166" s="619"/>
      <c r="I166" s="619"/>
    </row>
    <row r="167" spans="2:15">
      <c r="C167" s="960"/>
      <c r="D167" s="961"/>
      <c r="E167" s="619"/>
      <c r="F167" s="619"/>
      <c r="G167" s="619"/>
      <c r="H167" s="619"/>
      <c r="I167" s="619"/>
    </row>
    <row r="168" spans="2:15">
      <c r="B168" s="869"/>
      <c r="C168" s="960"/>
      <c r="D168" s="960"/>
      <c r="H168" s="962"/>
    </row>
    <row r="169" spans="2:15">
      <c r="C169" s="960"/>
      <c r="D169" s="616"/>
      <c r="E169" s="616"/>
      <c r="F169" s="616"/>
      <c r="G169" s="616"/>
      <c r="H169" s="616"/>
      <c r="I169" s="616"/>
    </row>
    <row r="170" spans="2:15">
      <c r="C170" s="960"/>
      <c r="D170" s="616"/>
      <c r="E170" s="616"/>
      <c r="F170" s="616"/>
      <c r="G170" s="616"/>
      <c r="H170" s="616"/>
      <c r="I170" s="616"/>
    </row>
    <row r="171" spans="2:15">
      <c r="C171" s="960"/>
      <c r="D171" s="616"/>
      <c r="E171" s="616"/>
      <c r="F171" s="616"/>
      <c r="G171" s="616"/>
      <c r="H171" s="616"/>
      <c r="I171" s="616"/>
    </row>
    <row r="172" spans="2:15">
      <c r="C172" s="960"/>
      <c r="D172" s="616"/>
      <c r="E172" s="616"/>
      <c r="F172" s="616"/>
      <c r="G172" s="616"/>
      <c r="H172" s="616"/>
      <c r="I172" s="616"/>
    </row>
    <row r="173" spans="2:15">
      <c r="C173" s="960"/>
      <c r="D173" s="616"/>
      <c r="E173" s="616"/>
      <c r="F173" s="616"/>
      <c r="G173" s="616"/>
      <c r="H173" s="616"/>
      <c r="I173" s="616"/>
    </row>
    <row r="174" spans="2:15">
      <c r="C174" s="960"/>
      <c r="D174" s="616"/>
      <c r="E174" s="616"/>
      <c r="F174" s="616"/>
      <c r="G174" s="616"/>
      <c r="H174" s="616"/>
      <c r="I174" s="616"/>
    </row>
    <row r="175" spans="2:15">
      <c r="B175" s="869"/>
      <c r="C175" s="960"/>
      <c r="D175" s="960"/>
    </row>
    <row r="176" spans="2:15">
      <c r="C176" s="960"/>
      <c r="D176" s="616"/>
      <c r="E176" s="616"/>
      <c r="F176" s="616"/>
      <c r="G176" s="616"/>
      <c r="H176" s="616"/>
      <c r="I176" s="616"/>
    </row>
    <row r="177" spans="2:15">
      <c r="C177" s="960"/>
      <c r="D177" s="616"/>
      <c r="E177" s="616"/>
      <c r="F177" s="616"/>
      <c r="G177" s="616"/>
      <c r="H177" s="616"/>
      <c r="I177" s="616"/>
    </row>
    <row r="178" spans="2:15">
      <c r="B178" s="869"/>
      <c r="C178" s="960"/>
      <c r="D178" s="960"/>
    </row>
    <row r="179" spans="2:15">
      <c r="C179" s="960"/>
      <c r="D179" s="614"/>
      <c r="E179" s="616"/>
      <c r="F179" s="616"/>
      <c r="G179" s="616"/>
      <c r="H179" s="616"/>
      <c r="I179" s="616"/>
    </row>
    <row r="180" spans="2:15">
      <c r="C180" s="960"/>
      <c r="D180" s="614"/>
      <c r="E180" s="618"/>
      <c r="F180" s="618"/>
      <c r="G180" s="618"/>
      <c r="H180" s="618"/>
      <c r="I180" s="618"/>
    </row>
    <row r="182" spans="2:15">
      <c r="B182" s="869"/>
      <c r="C182" s="960"/>
      <c r="D182" s="867"/>
      <c r="E182" s="867"/>
      <c r="F182" s="867"/>
      <c r="G182" s="867"/>
      <c r="H182" s="867"/>
      <c r="I182" s="867"/>
      <c r="J182" s="948"/>
      <c r="K182" s="948"/>
      <c r="L182" s="948"/>
      <c r="M182" s="948"/>
      <c r="N182" s="948"/>
      <c r="O182" s="948"/>
    </row>
    <row r="183" spans="2:15">
      <c r="B183" s="869"/>
      <c r="C183" s="960"/>
      <c r="D183" s="960"/>
      <c r="E183" s="963"/>
      <c r="F183" s="869"/>
      <c r="G183" s="869"/>
      <c r="H183" s="869"/>
      <c r="I183" s="869"/>
      <c r="M183" s="617"/>
      <c r="N183" s="617"/>
      <c r="O183" s="617"/>
    </row>
    <row r="184" spans="2:15">
      <c r="B184" s="869"/>
      <c r="C184" s="960"/>
      <c r="D184" s="960"/>
      <c r="E184" s="615"/>
      <c r="F184" s="615"/>
      <c r="G184" s="615"/>
      <c r="H184" s="615"/>
      <c r="I184" s="615"/>
    </row>
    <row r="185" spans="2:15">
      <c r="C185" s="960"/>
      <c r="D185" s="960"/>
      <c r="E185" s="616"/>
      <c r="F185" s="616"/>
      <c r="G185" s="616"/>
      <c r="H185" s="616"/>
      <c r="I185" s="616"/>
      <c r="M185" s="953"/>
      <c r="N185" s="953"/>
      <c r="O185" s="953"/>
    </row>
    <row r="186" spans="2:15">
      <c r="C186" s="960"/>
      <c r="D186" s="960"/>
      <c r="E186" s="616"/>
      <c r="F186" s="616"/>
      <c r="G186" s="616"/>
      <c r="H186" s="616"/>
      <c r="I186" s="616"/>
    </row>
    <row r="187" spans="2:15">
      <c r="C187" s="960"/>
      <c r="D187" s="960"/>
      <c r="E187" s="616"/>
      <c r="F187" s="616"/>
      <c r="G187" s="616"/>
      <c r="H187" s="616"/>
      <c r="I187" s="616"/>
    </row>
    <row r="188" spans="2:15">
      <c r="C188" s="960"/>
      <c r="D188" s="960"/>
      <c r="E188" s="616"/>
      <c r="F188" s="616"/>
      <c r="G188" s="616"/>
      <c r="H188" s="616"/>
      <c r="I188" s="616"/>
    </row>
    <row r="189" spans="2:15">
      <c r="C189" s="960"/>
      <c r="D189" s="960"/>
      <c r="E189" s="964"/>
      <c r="F189" s="964"/>
      <c r="G189" s="964"/>
      <c r="H189" s="964"/>
      <c r="I189" s="964"/>
    </row>
    <row r="190" spans="2:15">
      <c r="B190" s="869"/>
      <c r="C190" s="960"/>
      <c r="D190" s="960"/>
      <c r="E190" s="615"/>
      <c r="F190" s="615"/>
      <c r="G190" s="615"/>
      <c r="H190" s="615"/>
      <c r="I190" s="615"/>
    </row>
    <row r="191" spans="2:15">
      <c r="C191" s="960"/>
      <c r="D191" s="960"/>
      <c r="E191" s="616"/>
      <c r="F191" s="616"/>
      <c r="G191" s="616"/>
      <c r="H191" s="616"/>
      <c r="I191" s="616"/>
    </row>
    <row r="192" spans="2:15">
      <c r="C192" s="960"/>
      <c r="D192" s="960"/>
      <c r="E192" s="616"/>
      <c r="F192" s="616"/>
      <c r="G192" s="616"/>
      <c r="H192" s="616"/>
      <c r="I192" s="616"/>
    </row>
    <row r="193" spans="2:9">
      <c r="C193" s="960"/>
      <c r="D193" s="960"/>
      <c r="E193" s="616"/>
      <c r="F193" s="616"/>
      <c r="G193" s="616"/>
      <c r="H193" s="616"/>
      <c r="I193" s="616"/>
    </row>
    <row r="194" spans="2:9">
      <c r="C194" s="960"/>
      <c r="D194" s="960"/>
      <c r="E194" s="616"/>
      <c r="F194" s="616"/>
      <c r="G194" s="616"/>
      <c r="H194" s="616"/>
      <c r="I194" s="616"/>
    </row>
    <row r="195" spans="2:9">
      <c r="C195" s="960"/>
      <c r="D195" s="960"/>
      <c r="E195" s="616"/>
      <c r="F195" s="616"/>
      <c r="G195" s="616"/>
      <c r="H195" s="616"/>
      <c r="I195" s="616"/>
    </row>
    <row r="196" spans="2:9">
      <c r="B196" s="869"/>
      <c r="C196" s="960"/>
      <c r="D196" s="960"/>
      <c r="E196" s="615"/>
      <c r="F196" s="615"/>
      <c r="G196" s="615"/>
      <c r="H196" s="615"/>
      <c r="I196" s="615"/>
    </row>
    <row r="197" spans="2:9">
      <c r="C197" s="960"/>
      <c r="D197" s="614"/>
      <c r="E197" s="614"/>
      <c r="F197" s="614"/>
      <c r="G197" s="614"/>
      <c r="H197" s="614"/>
      <c r="I197" s="614"/>
    </row>
    <row r="198" spans="2:9">
      <c r="C198" s="960"/>
      <c r="D198" s="614"/>
      <c r="E198" s="614"/>
      <c r="F198" s="614"/>
      <c r="G198" s="614"/>
      <c r="H198" s="614"/>
      <c r="I198" s="614"/>
    </row>
    <row r="199" spans="2:9">
      <c r="B199" s="857"/>
      <c r="C199" s="866"/>
      <c r="D199" s="866"/>
      <c r="E199" s="965"/>
      <c r="F199" s="965"/>
      <c r="G199" s="965"/>
      <c r="H199" s="965"/>
      <c r="I199" s="965"/>
    </row>
    <row r="200" spans="2:9">
      <c r="B200" s="966"/>
      <c r="C200" s="857"/>
      <c r="D200" s="857"/>
      <c r="E200" s="613"/>
      <c r="F200" s="613"/>
      <c r="G200" s="613"/>
      <c r="H200" s="613"/>
      <c r="I200" s="613"/>
    </row>
  </sheetData>
  <mergeCells count="9">
    <mergeCell ref="B114:I114"/>
    <mergeCell ref="B152:C152"/>
    <mergeCell ref="M152:O152"/>
    <mergeCell ref="B2:I2"/>
    <mergeCell ref="B3:I3"/>
    <mergeCell ref="B4:I4"/>
    <mergeCell ref="B80:D81"/>
    <mergeCell ref="B112:I112"/>
    <mergeCell ref="B113:I113"/>
  </mergeCells>
  <dataValidations count="1">
    <dataValidation type="list" allowBlank="1" showInputMessage="1" showErrorMessage="1" sqref="K36:K40">
      <formula1>#REF!</formula1>
    </dataValidation>
  </dataValidations>
  <pageMargins left="0.70866141732283472" right="0.70866141732283472" top="0.74803149606299213" bottom="0.74803149606299213" header="0.31496062992125984" footer="0.31496062992125984"/>
  <pageSetup scale="48" fitToHeight="0" orientation="landscape" verticalDpi="597" r:id="rId1"/>
  <rowBreaks count="2" manualBreakCount="2">
    <brk id="110" max="16383" man="1"/>
    <brk id="1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6"/>
  <sheetViews>
    <sheetView showGridLines="0" zoomScale="75" zoomScaleNormal="75" workbookViewId="0">
      <selection activeCell="L10" sqref="L10"/>
    </sheetView>
  </sheetViews>
  <sheetFormatPr baseColWidth="10" defaultRowHeight="13.2"/>
  <cols>
    <col min="1" max="1" width="6.5546875" customWidth="1"/>
    <col min="2" max="2" width="13.44140625" customWidth="1"/>
    <col min="3" max="3" width="18.5546875" customWidth="1"/>
    <col min="4" max="4" width="15.5546875" bestFit="1" customWidth="1"/>
    <col min="5" max="5" width="16" customWidth="1"/>
    <col min="6" max="6" width="15.44140625" customWidth="1"/>
    <col min="7" max="7" width="17.33203125" customWidth="1"/>
    <col min="8" max="8" width="15.5546875" bestFit="1" customWidth="1"/>
    <col min="9" max="9" width="16.6640625" customWidth="1"/>
    <col min="10" max="10" width="15.5546875" bestFit="1" customWidth="1"/>
    <col min="11" max="11" width="17" customWidth="1"/>
    <col min="12" max="12" width="15.5546875" bestFit="1" customWidth="1"/>
    <col min="13" max="13" width="5" customWidth="1"/>
    <col min="14" max="14" width="11.6640625" bestFit="1" customWidth="1"/>
  </cols>
  <sheetData>
    <row r="1" spans="2:15" ht="15.6">
      <c r="B1" s="1168"/>
      <c r="C1" s="1168"/>
      <c r="D1" s="1168"/>
      <c r="E1" s="1168"/>
      <c r="F1" s="1168"/>
      <c r="G1" s="1168"/>
      <c r="H1" s="1168"/>
      <c r="I1" s="1168"/>
      <c r="J1" s="1168"/>
      <c r="K1" s="1168"/>
      <c r="L1" s="1168"/>
    </row>
    <row r="2" spans="2:15" ht="15.6">
      <c r="B2" s="1168" t="s">
        <v>95</v>
      </c>
      <c r="C2" s="1168"/>
      <c r="D2" s="1168"/>
      <c r="E2" s="1168"/>
      <c r="F2" s="1168"/>
      <c r="G2" s="1168"/>
      <c r="H2" s="1168"/>
      <c r="I2" s="1168"/>
      <c r="J2" s="1168"/>
      <c r="K2" s="1168"/>
      <c r="L2" s="1168"/>
    </row>
    <row r="3" spans="2:15" ht="15.6">
      <c r="B3" s="1168" t="s">
        <v>279</v>
      </c>
      <c r="C3" s="1168"/>
      <c r="D3" s="1168"/>
      <c r="E3" s="1168"/>
      <c r="F3" s="1168"/>
      <c r="G3" s="1168"/>
      <c r="H3" s="1168"/>
      <c r="I3" s="1168"/>
      <c r="J3" s="1168"/>
      <c r="K3" s="1168"/>
      <c r="L3" s="1168"/>
    </row>
    <row r="4" spans="2:15" ht="15.6">
      <c r="B4" s="1168" t="s">
        <v>232</v>
      </c>
      <c r="C4" s="1168"/>
      <c r="D4" s="1168"/>
      <c r="E4" s="1168"/>
      <c r="F4" s="1168"/>
      <c r="G4" s="1168"/>
      <c r="H4" s="1168"/>
      <c r="I4" s="1168"/>
      <c r="J4" s="1168"/>
      <c r="K4" s="1168"/>
      <c r="L4" s="1168"/>
    </row>
    <row r="5" spans="2:15" ht="15.6">
      <c r="B5" s="1168" t="s">
        <v>231</v>
      </c>
      <c r="C5" s="1168"/>
      <c r="D5" s="1168"/>
      <c r="E5" s="1168"/>
      <c r="F5" s="1168"/>
      <c r="G5" s="1168"/>
      <c r="H5" s="1168"/>
      <c r="I5" s="1168"/>
      <c r="J5" s="1168"/>
      <c r="K5" s="1168"/>
      <c r="L5" s="1168"/>
    </row>
    <row r="6" spans="2:15" ht="15.6">
      <c r="B6" s="110"/>
      <c r="C6" s="110"/>
      <c r="D6" s="110"/>
      <c r="E6" s="110"/>
      <c r="F6" s="110"/>
      <c r="G6" s="110"/>
      <c r="H6" s="110"/>
      <c r="I6" s="110"/>
      <c r="J6" s="110"/>
      <c r="K6" s="110"/>
      <c r="L6" s="110"/>
    </row>
    <row r="7" spans="2:15" ht="15.6">
      <c r="B7" s="1169" t="s">
        <v>14</v>
      </c>
      <c r="C7" s="1144" t="s">
        <v>322</v>
      </c>
      <c r="D7" s="1146"/>
      <c r="E7" s="1144" t="s">
        <v>323</v>
      </c>
      <c r="F7" s="1146"/>
      <c r="G7" s="1144" t="s">
        <v>377</v>
      </c>
      <c r="H7" s="1146"/>
      <c r="I7" s="1144" t="s">
        <v>378</v>
      </c>
      <c r="J7" s="1146"/>
      <c r="K7" s="1144" t="s">
        <v>2</v>
      </c>
      <c r="L7" s="1146"/>
    </row>
    <row r="8" spans="2:15" ht="15.6">
      <c r="B8" s="1170"/>
      <c r="C8" s="101" t="s">
        <v>18</v>
      </c>
      <c r="D8" s="585" t="s">
        <v>239</v>
      </c>
      <c r="E8" s="101" t="s">
        <v>18</v>
      </c>
      <c r="F8" s="585" t="s">
        <v>239</v>
      </c>
      <c r="G8" s="101" t="s">
        <v>18</v>
      </c>
      <c r="H8" s="585" t="s">
        <v>239</v>
      </c>
      <c r="I8" s="101" t="s">
        <v>18</v>
      </c>
      <c r="J8" s="585" t="s">
        <v>239</v>
      </c>
      <c r="K8" s="101" t="s">
        <v>18</v>
      </c>
      <c r="L8" s="101" t="s">
        <v>239</v>
      </c>
    </row>
    <row r="9" spans="2:15" ht="15.6">
      <c r="B9" s="7"/>
      <c r="C9" s="7"/>
      <c r="D9" s="1"/>
      <c r="E9" s="1"/>
      <c r="F9" s="1"/>
      <c r="G9" s="1"/>
      <c r="H9" s="1"/>
      <c r="I9" s="1"/>
      <c r="J9" s="1"/>
      <c r="K9" s="414"/>
      <c r="L9" s="414"/>
    </row>
    <row r="10" spans="2:15" ht="15.6">
      <c r="B10" s="8" t="s">
        <v>17</v>
      </c>
      <c r="C10" s="107">
        <v>1</v>
      </c>
      <c r="D10" s="2">
        <f>'IMP Existente'!E78</f>
        <v>117220.09846271589</v>
      </c>
      <c r="E10" s="107">
        <v>1</v>
      </c>
      <c r="F10" s="2">
        <f>'IMP Existente'!F78</f>
        <v>120123.22235624716</v>
      </c>
      <c r="G10" s="107">
        <v>1</v>
      </c>
      <c r="H10" s="2">
        <f>'IMP Existente'!G78</f>
        <v>120600.55120094835</v>
      </c>
      <c r="I10" s="107">
        <v>1</v>
      </c>
      <c r="J10" s="2">
        <f>'IMP Existente'!H78</f>
        <v>120479.58732307555</v>
      </c>
      <c r="K10" s="107">
        <v>1</v>
      </c>
      <c r="L10" s="415">
        <f>SUM(D10,F10,H10,J10)</f>
        <v>478423.45934298699</v>
      </c>
      <c r="M10" s="149"/>
      <c r="N10" s="412"/>
      <c r="O10" s="413"/>
    </row>
    <row r="11" spans="2:15" ht="15.6">
      <c r="B11" s="106"/>
      <c r="C11" s="108"/>
      <c r="D11" s="2"/>
      <c r="E11" s="108"/>
      <c r="F11" s="2">
        <f>+IMP!F98</f>
        <v>0</v>
      </c>
      <c r="G11" s="108"/>
      <c r="H11" s="2"/>
      <c r="I11" s="108"/>
      <c r="J11" s="2"/>
      <c r="K11" s="108"/>
      <c r="L11" s="416"/>
      <c r="M11" s="149"/>
      <c r="N11" s="412"/>
      <c r="O11" s="413"/>
    </row>
    <row r="12" spans="2:15" ht="15.6">
      <c r="B12" s="102" t="s">
        <v>2</v>
      </c>
      <c r="C12" s="109">
        <f t="shared" ref="C12:L12" si="0">SUM(C10:C11)</f>
        <v>1</v>
      </c>
      <c r="D12" s="103">
        <f t="shared" si="0"/>
        <v>117220.09846271589</v>
      </c>
      <c r="E12" s="109">
        <f t="shared" si="0"/>
        <v>1</v>
      </c>
      <c r="F12" s="103">
        <f t="shared" si="0"/>
        <v>120123.22235624716</v>
      </c>
      <c r="G12" s="109">
        <f t="shared" si="0"/>
        <v>1</v>
      </c>
      <c r="H12" s="103">
        <f t="shared" si="0"/>
        <v>120600.55120094835</v>
      </c>
      <c r="I12" s="109">
        <f t="shared" si="0"/>
        <v>1</v>
      </c>
      <c r="J12" s="103">
        <f t="shared" si="0"/>
        <v>120479.58732307555</v>
      </c>
      <c r="K12" s="109">
        <f t="shared" si="0"/>
        <v>1</v>
      </c>
      <c r="L12" s="103">
        <f t="shared" si="0"/>
        <v>478423.45934298699</v>
      </c>
      <c r="N12" s="412"/>
      <c r="O12" s="392"/>
    </row>
    <row r="13" spans="2:15">
      <c r="B13" s="5"/>
      <c r="C13" s="5"/>
      <c r="D13" s="5"/>
      <c r="E13" s="5"/>
      <c r="F13" s="5"/>
      <c r="G13" s="5"/>
    </row>
    <row r="15" spans="2:15">
      <c r="B15" s="105" t="s">
        <v>19</v>
      </c>
    </row>
    <row r="16" spans="2:15">
      <c r="B16" s="105"/>
    </row>
  </sheetData>
  <mergeCells count="11">
    <mergeCell ref="K7:L7"/>
    <mergeCell ref="B7:B8"/>
    <mergeCell ref="C7:D7"/>
    <mergeCell ref="E7:F7"/>
    <mergeCell ref="G7:H7"/>
    <mergeCell ref="I7:J7"/>
    <mergeCell ref="B5:L5"/>
    <mergeCell ref="B3:L3"/>
    <mergeCell ref="B1:L1"/>
    <mergeCell ref="B2:L2"/>
    <mergeCell ref="B4:L4"/>
  </mergeCells>
  <phoneticPr fontId="0" type="noConversion"/>
  <printOptions horizontalCentered="1" verticalCentered="1"/>
  <pageMargins left="0.79" right="0.98" top="0.48" bottom="1.28" header="0" footer="0.79"/>
  <pageSetup scale="69" orientation="landscape" horizontalDpi="4294967293" r:id="rId1"/>
  <headerFooter alignWithMargins="0">
    <oddFooter>&amp;LARCHIVO:  &amp;FHOJA: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4"/>
  <sheetViews>
    <sheetView showGridLines="0" zoomScaleNormal="100" workbookViewId="0">
      <selection activeCell="D6" sqref="D6"/>
    </sheetView>
  </sheetViews>
  <sheetFormatPr baseColWidth="10" defaultRowHeight="13.2"/>
  <cols>
    <col min="1" max="1" width="3.109375" customWidth="1"/>
    <col min="2" max="2" width="5" customWidth="1"/>
    <col min="15" max="15" width="27.88671875" bestFit="1" customWidth="1"/>
  </cols>
  <sheetData>
    <row r="1" spans="2:16">
      <c r="C1" s="579"/>
      <c r="D1" s="579"/>
      <c r="E1" s="579"/>
      <c r="F1" s="579"/>
      <c r="G1" s="579"/>
      <c r="H1" s="579"/>
      <c r="I1" s="579"/>
      <c r="J1" s="579"/>
      <c r="K1" s="579"/>
      <c r="L1" s="579"/>
      <c r="M1" s="579"/>
      <c r="N1" s="580"/>
    </row>
    <row r="2" spans="2:16">
      <c r="C2" s="3" t="s">
        <v>380</v>
      </c>
      <c r="N2" s="104"/>
    </row>
    <row r="3" spans="2:16">
      <c r="C3" s="306" t="s">
        <v>238</v>
      </c>
      <c r="D3" s="277"/>
      <c r="E3" s="277"/>
      <c r="F3" s="277"/>
      <c r="G3" s="277"/>
      <c r="H3" s="277"/>
      <c r="I3" s="277"/>
      <c r="J3" s="277"/>
      <c r="K3" s="277"/>
      <c r="L3" s="277"/>
      <c r="M3" s="277"/>
      <c r="N3" s="277"/>
    </row>
    <row r="4" spans="2:16" ht="23.25" customHeight="1">
      <c r="C4" s="307" t="s">
        <v>140</v>
      </c>
      <c r="D4" s="308" t="s">
        <v>20</v>
      </c>
      <c r="E4" s="309" t="s">
        <v>21</v>
      </c>
      <c r="F4" s="309" t="s">
        <v>22</v>
      </c>
      <c r="G4" s="309" t="s">
        <v>23</v>
      </c>
      <c r="H4" s="309" t="s">
        <v>24</v>
      </c>
      <c r="I4" s="309" t="s">
        <v>25</v>
      </c>
      <c r="J4" s="309" t="s">
        <v>26</v>
      </c>
      <c r="K4" s="309" t="s">
        <v>27</v>
      </c>
      <c r="L4" s="309" t="s">
        <v>28</v>
      </c>
      <c r="M4" s="310" t="s">
        <v>29</v>
      </c>
      <c r="N4" s="311" t="s">
        <v>16</v>
      </c>
    </row>
    <row r="5" spans="2:16">
      <c r="C5" s="312" t="s">
        <v>141</v>
      </c>
      <c r="D5" s="384">
        <f>'Capacidad Instalada (1 cuadro)'!H6</f>
        <v>268.27000000000004</v>
      </c>
      <c r="E5" s="384">
        <f>'Capacidad Instalada (1 cuadro)'!H26</f>
        <v>539</v>
      </c>
      <c r="F5" s="384">
        <f>'Capacidad Instalada (1 cuadro)'!H34</f>
        <v>152.99</v>
      </c>
      <c r="G5" s="384">
        <f>'Capacidad Instalada (1 cuadro)'!H42</f>
        <v>440.98677200000003</v>
      </c>
      <c r="H5" s="384">
        <f>'Capacidad Instalada (1 cuadro)'!H82</f>
        <v>770.67862099999991</v>
      </c>
      <c r="I5" s="384">
        <f>'Capacidad Instalada (1 cuadro)'!H129</f>
        <v>155.26000000000002</v>
      </c>
      <c r="J5" s="384">
        <f>'Capacidad Instalada (1 cuadro)'!H136</f>
        <v>162.43</v>
      </c>
      <c r="K5" s="384">
        <f>'Capacidad Instalada (1 cuadro)'!H143</f>
        <v>260</v>
      </c>
      <c r="L5" s="384">
        <f>'Capacidad Instalada (1 cuadro)'!H146</f>
        <v>740.25</v>
      </c>
      <c r="M5" s="384">
        <f>'Capacidad Instalada (1 cuadro)'!H155</f>
        <v>252.17</v>
      </c>
      <c r="N5" s="385">
        <f>SUM(D5:M5)</f>
        <v>3742.0353930000001</v>
      </c>
    </row>
    <row r="6" spans="2:16">
      <c r="C6" s="316" t="s">
        <v>142</v>
      </c>
      <c r="D6" s="387">
        <f>'Demanda Maxima'!E5</f>
        <v>23.37</v>
      </c>
      <c r="E6" s="387">
        <f>'Demanda Maxima'!E10</f>
        <v>0</v>
      </c>
      <c r="F6" s="387">
        <f>'Demanda Maxima'!E12</f>
        <v>0.1</v>
      </c>
      <c r="G6" s="387">
        <f>'Demanda Maxima'!E16</f>
        <v>122.86</v>
      </c>
      <c r="H6" s="387">
        <f>'Demanda Maxima'!E23</f>
        <v>404.89750000000004</v>
      </c>
      <c r="I6" s="387">
        <f>'Demanda Maxima'!E33</f>
        <v>183.27</v>
      </c>
      <c r="J6" s="387">
        <f>'Demanda Maxima'!E40</f>
        <v>1126.9100000000001</v>
      </c>
      <c r="K6" s="387">
        <f>'Demanda Maxima'!E59</f>
        <v>2.4</v>
      </c>
      <c r="L6" s="387">
        <f>'Demanda Maxima'!E63</f>
        <v>129.75</v>
      </c>
      <c r="M6" s="387">
        <f>'Demanda Maxima'!E71</f>
        <v>45.04</v>
      </c>
      <c r="N6" s="388">
        <f>SUM(D6:M6)</f>
        <v>2038.5975000000003</v>
      </c>
    </row>
    <row r="7" spans="2:16">
      <c r="B7" s="277"/>
      <c r="C7" s="277"/>
      <c r="D7" s="277"/>
      <c r="E7" s="277"/>
      <c r="F7" s="277"/>
      <c r="G7" s="277"/>
      <c r="H7" s="277"/>
      <c r="I7" s="277"/>
      <c r="J7" s="277"/>
      <c r="K7" s="277"/>
      <c r="L7" s="277"/>
      <c r="M7" s="277"/>
      <c r="N7" s="277"/>
      <c r="O7" s="277"/>
    </row>
    <row r="8" spans="2:16">
      <c r="B8" s="277"/>
      <c r="C8" s="3" t="s">
        <v>321</v>
      </c>
      <c r="N8" s="104"/>
      <c r="O8" s="277"/>
    </row>
    <row r="9" spans="2:16" ht="14.25" customHeight="1">
      <c r="B9" s="277"/>
      <c r="C9" s="306" t="s">
        <v>238</v>
      </c>
      <c r="D9" s="277"/>
      <c r="E9" s="277"/>
      <c r="F9" s="277"/>
      <c r="G9" s="277"/>
      <c r="H9" s="277"/>
      <c r="I9" s="277"/>
      <c r="J9" s="277"/>
      <c r="K9" s="277"/>
      <c r="L9" s="277"/>
      <c r="M9" s="277"/>
      <c r="N9" s="277"/>
      <c r="O9" s="386"/>
      <c r="P9" s="578"/>
    </row>
    <row r="10" spans="2:16" ht="22.8">
      <c r="B10" s="277"/>
      <c r="C10" s="307" t="s">
        <v>140</v>
      </c>
      <c r="D10" s="308" t="s">
        <v>20</v>
      </c>
      <c r="E10" s="309" t="s">
        <v>21</v>
      </c>
      <c r="F10" s="309" t="s">
        <v>22</v>
      </c>
      <c r="G10" s="309" t="s">
        <v>23</v>
      </c>
      <c r="H10" s="309" t="s">
        <v>24</v>
      </c>
      <c r="I10" s="309" t="s">
        <v>25</v>
      </c>
      <c r="J10" s="309" t="s">
        <v>26</v>
      </c>
      <c r="K10" s="309" t="s">
        <v>27</v>
      </c>
      <c r="L10" s="309" t="s">
        <v>28</v>
      </c>
      <c r="M10" s="310" t="s">
        <v>29</v>
      </c>
      <c r="N10" s="311" t="s">
        <v>16</v>
      </c>
      <c r="O10" s="386"/>
      <c r="P10" s="578"/>
    </row>
    <row r="11" spans="2:16">
      <c r="B11" s="277"/>
      <c r="C11" s="312" t="s">
        <v>141</v>
      </c>
      <c r="D11" s="384">
        <f>'Capacidad Instalada (1 cuadro)'!I6</f>
        <v>300.22000000000003</v>
      </c>
      <c r="E11" s="384">
        <f>'Capacidad Instalada (1 cuadro)'!I26</f>
        <v>428.69</v>
      </c>
      <c r="F11" s="384">
        <f>'Capacidad Instalada (1 cuadro)'!I34</f>
        <v>152.99</v>
      </c>
      <c r="G11" s="384">
        <f>'Capacidad Instalada (1 cuadro)'!I42</f>
        <v>441.97677200000004</v>
      </c>
      <c r="H11" s="384">
        <f>'Capacidad Instalada (1 cuadro)'!I82</f>
        <v>787.33862099999988</v>
      </c>
      <c r="I11" s="384">
        <f>'Capacidad Instalada (1 cuadro)'!I129</f>
        <v>155.26000000000002</v>
      </c>
      <c r="J11" s="384">
        <f>'Capacidad Instalada (1 cuadro)'!I136</f>
        <v>162.43</v>
      </c>
      <c r="K11" s="384">
        <f>'Capacidad Instalada (1 cuadro)'!I143</f>
        <v>260</v>
      </c>
      <c r="L11" s="384">
        <f>'Capacidad Instalada (1 cuadro)'!I146</f>
        <v>740.25</v>
      </c>
      <c r="M11" s="384">
        <f>'Capacidad Instalada (1 cuadro)'!I155</f>
        <v>252.17</v>
      </c>
      <c r="N11" s="385">
        <f>SUM(D11:M11)</f>
        <v>3681.3253930000001</v>
      </c>
      <c r="O11" s="277"/>
    </row>
    <row r="12" spans="2:16">
      <c r="C12" s="316" t="s">
        <v>142</v>
      </c>
      <c r="D12" s="387">
        <f>'Demanda Maxima'!F5</f>
        <v>19.914304269917743</v>
      </c>
      <c r="E12" s="387">
        <f>'Demanda Maxima'!F10</f>
        <v>0</v>
      </c>
      <c r="F12" s="387">
        <f>'Demanda Maxima'!F12</f>
        <v>9.1459859130985102E-2</v>
      </c>
      <c r="G12" s="387">
        <f>'Demanda Maxima'!F16</f>
        <v>123.57224114539488</v>
      </c>
      <c r="H12" s="387">
        <f>'Demanda Maxima'!F23</f>
        <v>413.7669373519351</v>
      </c>
      <c r="I12" s="387">
        <f>'Demanda Maxima'!F33</f>
        <v>180.24893333333333</v>
      </c>
      <c r="J12" s="387">
        <f>'Demanda Maxima'!F40</f>
        <v>1123.6969575106157</v>
      </c>
      <c r="K12" s="387">
        <f>'Demanda Maxima'!F59</f>
        <v>1.31</v>
      </c>
      <c r="L12" s="387">
        <f>'Demanda Maxima'!F63</f>
        <v>148.55000000000001</v>
      </c>
      <c r="M12" s="387">
        <f>'Demanda Maxima'!F71</f>
        <v>64.363653074839306</v>
      </c>
      <c r="N12" s="388">
        <f>SUM(D12:M12)</f>
        <v>2075.5144865451671</v>
      </c>
    </row>
    <row r="14" spans="2:16">
      <c r="C14" s="3" t="s">
        <v>381</v>
      </c>
      <c r="N14" s="104"/>
    </row>
    <row r="15" spans="2:16">
      <c r="C15" s="306" t="s">
        <v>238</v>
      </c>
      <c r="D15" s="277"/>
      <c r="E15" s="277"/>
      <c r="F15" s="277"/>
      <c r="G15" s="277"/>
      <c r="H15" s="277"/>
      <c r="I15" s="277"/>
      <c r="J15" s="277"/>
      <c r="K15" s="277"/>
      <c r="L15" s="277"/>
      <c r="M15" s="277"/>
      <c r="N15" s="277"/>
    </row>
    <row r="16" spans="2:16" ht="27.75" customHeight="1">
      <c r="C16" s="307" t="s">
        <v>140</v>
      </c>
      <c r="D16" s="308" t="s">
        <v>20</v>
      </c>
      <c r="E16" s="309" t="s">
        <v>21</v>
      </c>
      <c r="F16" s="309" t="s">
        <v>22</v>
      </c>
      <c r="G16" s="309" t="s">
        <v>23</v>
      </c>
      <c r="H16" s="309" t="s">
        <v>24</v>
      </c>
      <c r="I16" s="309" t="s">
        <v>25</v>
      </c>
      <c r="J16" s="309" t="s">
        <v>26</v>
      </c>
      <c r="K16" s="309" t="s">
        <v>27</v>
      </c>
      <c r="L16" s="309" t="s">
        <v>28</v>
      </c>
      <c r="M16" s="310" t="s">
        <v>29</v>
      </c>
      <c r="N16" s="311" t="s">
        <v>16</v>
      </c>
    </row>
    <row r="17" spans="3:14">
      <c r="C17" s="312" t="s">
        <v>141</v>
      </c>
      <c r="D17" s="384">
        <f>'Capacidad Instalada (1 cuadro)'!J6</f>
        <v>326.12000000000006</v>
      </c>
      <c r="E17" s="384">
        <f>'Capacidad Instalada (1 cuadro)'!J26</f>
        <v>548.69000000000005</v>
      </c>
      <c r="F17" s="384">
        <f>'Capacidad Instalada (1 cuadro)'!J34</f>
        <v>152.99</v>
      </c>
      <c r="G17" s="384">
        <f>'Capacidad Instalada (1 cuadro)'!J42</f>
        <v>448.54677200000003</v>
      </c>
      <c r="H17" s="384">
        <f>'Capacidad Instalada (1 cuadro)'!J82</f>
        <v>832.22862099999986</v>
      </c>
      <c r="I17" s="384">
        <f>'Capacidad Instalada (1 cuadro)'!J129</f>
        <v>155.76000000000002</v>
      </c>
      <c r="J17" s="384">
        <f>'Capacidad Instalada (1 cuadro)'!J136</f>
        <v>162.43</v>
      </c>
      <c r="K17" s="384">
        <f>'Capacidad Instalada (1 cuadro)'!J143</f>
        <v>260</v>
      </c>
      <c r="L17" s="384">
        <f>'Capacidad Instalada (1 cuadro)'!J146</f>
        <v>740.25</v>
      </c>
      <c r="M17" s="384">
        <f>'Capacidad Instalada (1 cuadro)'!J155</f>
        <v>252.17</v>
      </c>
      <c r="N17" s="385">
        <f>SUM(D17:M17)</f>
        <v>3879.1853930000002</v>
      </c>
    </row>
    <row r="18" spans="3:14">
      <c r="C18" s="316" t="s">
        <v>142</v>
      </c>
      <c r="D18" s="843">
        <f>'Demanda Maxima'!G5</f>
        <v>20.143945782958362</v>
      </c>
      <c r="E18" s="843">
        <f>'Demanda Maxima'!G10</f>
        <v>0</v>
      </c>
      <c r="F18" s="843">
        <f>'Demanda Maxima'!G12</f>
        <v>9.2524865931485331E-2</v>
      </c>
      <c r="G18" s="843">
        <f>'Demanda Maxima'!G16</f>
        <v>119.48122302839568</v>
      </c>
      <c r="H18" s="843">
        <f>'Demanda Maxima'!G23</f>
        <v>417.86816082599773</v>
      </c>
      <c r="I18" s="843">
        <f>'Demanda Maxima'!G33</f>
        <v>199.17893333333333</v>
      </c>
      <c r="J18" s="843">
        <f>'Demanda Maxima'!G40</f>
        <v>1159.9379902241108</v>
      </c>
      <c r="K18" s="843">
        <f>'Demanda Maxima'!G59</f>
        <v>1.33</v>
      </c>
      <c r="L18" s="843">
        <f>'Demanda Maxima'!G63</f>
        <v>153.73000000000002</v>
      </c>
      <c r="M18" s="843">
        <f>'Demanda Maxima'!G71</f>
        <v>72.75112541961515</v>
      </c>
      <c r="N18" s="388">
        <f>SUM(D18:M18)</f>
        <v>2144.5139034803424</v>
      </c>
    </row>
    <row r="20" spans="3:14">
      <c r="C20" s="3" t="s">
        <v>382</v>
      </c>
      <c r="N20" s="104"/>
    </row>
    <row r="21" spans="3:14">
      <c r="C21" s="306" t="s">
        <v>238</v>
      </c>
      <c r="D21" s="277"/>
      <c r="E21" s="277"/>
      <c r="F21" s="277"/>
      <c r="G21" s="277"/>
      <c r="H21" s="277"/>
      <c r="I21" s="277"/>
      <c r="J21" s="277"/>
      <c r="K21" s="277"/>
      <c r="L21" s="277"/>
      <c r="M21" s="277"/>
      <c r="N21" s="277"/>
    </row>
    <row r="22" spans="3:14" ht="27.75" customHeight="1">
      <c r="C22" s="307" t="s">
        <v>140</v>
      </c>
      <c r="D22" s="308" t="s">
        <v>20</v>
      </c>
      <c r="E22" s="309" t="s">
        <v>21</v>
      </c>
      <c r="F22" s="309" t="s">
        <v>22</v>
      </c>
      <c r="G22" s="309" t="s">
        <v>23</v>
      </c>
      <c r="H22" s="309" t="s">
        <v>24</v>
      </c>
      <c r="I22" s="309" t="s">
        <v>25</v>
      </c>
      <c r="J22" s="309" t="s">
        <v>26</v>
      </c>
      <c r="K22" s="309" t="s">
        <v>27</v>
      </c>
      <c r="L22" s="309" t="s">
        <v>28</v>
      </c>
      <c r="M22" s="310" t="s">
        <v>29</v>
      </c>
      <c r="N22" s="311" t="s">
        <v>16</v>
      </c>
    </row>
    <row r="23" spans="3:14">
      <c r="C23" s="312" t="s">
        <v>141</v>
      </c>
      <c r="D23" s="384">
        <f>'Capacidad Instalada (1 cuadro)'!K6</f>
        <v>366.12000000000006</v>
      </c>
      <c r="E23" s="384">
        <f>'Capacidad Instalada (1 cuadro)'!K26</f>
        <v>548.69000000000005</v>
      </c>
      <c r="F23" s="384">
        <f>'Capacidad Instalada (1 cuadro)'!K34</f>
        <v>152.99</v>
      </c>
      <c r="G23" s="384">
        <f>'Capacidad Instalada (1 cuadro)'!K42</f>
        <v>532.59677199999999</v>
      </c>
      <c r="H23" s="384">
        <f>'Capacidad Instalada (1 cuadro)'!K82</f>
        <v>850.26862099999983</v>
      </c>
      <c r="I23" s="384">
        <f>'Capacidad Instalada (1 cuadro)'!K129</f>
        <v>155.76000000000002</v>
      </c>
      <c r="J23" s="384">
        <f>'Capacidad Instalada (1 cuadro)'!K136</f>
        <v>162.43</v>
      </c>
      <c r="K23" s="384">
        <f>'Capacidad Instalada (1 cuadro)'!K143</f>
        <v>260</v>
      </c>
      <c r="L23" s="384">
        <f>'Capacidad Instalada (1 cuadro)'!K146</f>
        <v>1410.25</v>
      </c>
      <c r="M23" s="384">
        <f>'Capacidad Instalada (1 cuadro)'!K155</f>
        <v>252.17</v>
      </c>
      <c r="N23" s="385">
        <f>SUM(D23:M23)</f>
        <v>4691.2753929999999</v>
      </c>
    </row>
    <row r="24" spans="3:14">
      <c r="C24" s="316" t="s">
        <v>142</v>
      </c>
      <c r="D24" s="387">
        <f>'Demanda Maxima'!H5</f>
        <v>20.759254642276581</v>
      </c>
      <c r="E24" s="387">
        <f>'Demanda Maxima'!H10</f>
        <v>0</v>
      </c>
      <c r="F24" s="387">
        <f>'Demanda Maxima'!H12</f>
        <v>9.5354088196838716E-2</v>
      </c>
      <c r="G24" s="387">
        <f>'Demanda Maxima'!H16</f>
        <v>122.79517221171982</v>
      </c>
      <c r="H24" s="387">
        <f>'Demanda Maxima'!H23</f>
        <v>421.80477667034165</v>
      </c>
      <c r="I24" s="387">
        <f>'Demanda Maxima'!H33</f>
        <v>203.54055121538289</v>
      </c>
      <c r="J24" s="387">
        <f>'Demanda Maxima'!H40</f>
        <v>1166.4340438628744</v>
      </c>
      <c r="K24" s="387">
        <f>'Demanda Maxima'!H59</f>
        <v>1.35</v>
      </c>
      <c r="L24" s="387">
        <f>'Demanda Maxima'!H63</f>
        <v>157.13</v>
      </c>
      <c r="M24" s="387">
        <f>'Demanda Maxima'!H71</f>
        <v>74.984500153045872</v>
      </c>
      <c r="N24" s="388">
        <f>SUM(D24:M24)</f>
        <v>2168.893652843838</v>
      </c>
    </row>
  </sheetData>
  <conditionalFormatting sqref="D5:N6">
    <cfRule type="cellIs" dxfId="82" priority="24" operator="equal">
      <formula>0</formula>
    </cfRule>
  </conditionalFormatting>
  <conditionalFormatting sqref="D5:N6">
    <cfRule type="cellIs" dxfId="81" priority="23" operator="equal">
      <formula>0</formula>
    </cfRule>
  </conditionalFormatting>
  <conditionalFormatting sqref="D5:N6">
    <cfRule type="cellIs" dxfId="80" priority="22" operator="equal">
      <formula>0</formula>
    </cfRule>
  </conditionalFormatting>
  <conditionalFormatting sqref="D5:N6">
    <cfRule type="cellIs" dxfId="79" priority="21" operator="equal">
      <formula>0</formula>
    </cfRule>
  </conditionalFormatting>
  <conditionalFormatting sqref="D11:N12">
    <cfRule type="cellIs" dxfId="78" priority="14" operator="equal">
      <formula>0</formula>
    </cfRule>
  </conditionalFormatting>
  <conditionalFormatting sqref="D11:N12">
    <cfRule type="cellIs" dxfId="77" priority="13" operator="equal">
      <formula>0</formula>
    </cfRule>
  </conditionalFormatting>
  <conditionalFormatting sqref="D11:N12">
    <cfRule type="cellIs" dxfId="76" priority="12" operator="equal">
      <formula>0</formula>
    </cfRule>
  </conditionalFormatting>
  <conditionalFormatting sqref="D11:N12">
    <cfRule type="cellIs" dxfId="75" priority="11" operator="equal">
      <formula>0</formula>
    </cfRule>
  </conditionalFormatting>
  <conditionalFormatting sqref="D17:N17 N18">
    <cfRule type="cellIs" dxfId="74" priority="10" operator="equal">
      <formula>0</formula>
    </cfRule>
  </conditionalFormatting>
  <conditionalFormatting sqref="D17:N17 N18">
    <cfRule type="cellIs" dxfId="73" priority="9" operator="equal">
      <formula>0</formula>
    </cfRule>
  </conditionalFormatting>
  <conditionalFormatting sqref="D17:N17 N18">
    <cfRule type="cellIs" dxfId="72" priority="8" operator="equal">
      <formula>0</formula>
    </cfRule>
  </conditionalFormatting>
  <conditionalFormatting sqref="D17:N17 N18">
    <cfRule type="cellIs" dxfId="71" priority="7" operator="equal">
      <formula>0</formula>
    </cfRule>
  </conditionalFormatting>
  <conditionalFormatting sqref="D23:N24">
    <cfRule type="cellIs" dxfId="70" priority="6" operator="equal">
      <formula>0</formula>
    </cfRule>
  </conditionalFormatting>
  <conditionalFormatting sqref="D23:N24">
    <cfRule type="cellIs" dxfId="69" priority="5" operator="equal">
      <formula>0</formula>
    </cfRule>
  </conditionalFormatting>
  <conditionalFormatting sqref="D23:N24">
    <cfRule type="cellIs" dxfId="68" priority="4" operator="equal">
      <formula>0</formula>
    </cfRule>
  </conditionalFormatting>
  <conditionalFormatting sqref="D23:N24">
    <cfRule type="cellIs" dxfId="67" priority="3" operator="equal">
      <formula>0</formula>
    </cfRule>
  </conditionalFormatting>
  <conditionalFormatting sqref="D18:M18">
    <cfRule type="cellIs" dxfId="66"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0"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61"/>
  <sheetViews>
    <sheetView zoomScale="55" zoomScaleNormal="55" workbookViewId="0">
      <pane xSplit="2" ySplit="5" topLeftCell="G6" activePane="bottomRight" state="frozen"/>
      <selection pane="topRight" activeCell="C1" sqref="C1"/>
      <selection pane="bottomLeft" activeCell="A5" sqref="A5"/>
      <selection pane="bottomRight" activeCell="Q65" sqref="Q65"/>
    </sheetView>
  </sheetViews>
  <sheetFormatPr baseColWidth="10" defaultColWidth="11.44140625" defaultRowHeight="14.4"/>
  <cols>
    <col min="1" max="1" width="2.33203125" style="844" customWidth="1"/>
    <col min="2" max="2" width="64.6640625" style="844" customWidth="1"/>
    <col min="3" max="3" width="43.33203125" style="844" customWidth="1"/>
    <col min="4" max="4" width="16.5546875" style="844" customWidth="1"/>
    <col min="5" max="5" width="13.6640625" style="844" customWidth="1"/>
    <col min="6" max="6" width="15.5546875" style="844" customWidth="1"/>
    <col min="7" max="7" width="32.5546875" style="844" customWidth="1"/>
    <col min="8" max="8" width="22.109375" style="844" customWidth="1"/>
    <col min="9" max="9" width="21" style="844" customWidth="1"/>
    <col min="10" max="10" width="22.44140625" style="844" customWidth="1"/>
    <col min="11" max="11" width="20.6640625" style="844" customWidth="1"/>
    <col min="12" max="12" width="19.44140625" style="844" customWidth="1"/>
    <col min="13" max="13" width="44.109375" style="1048" customWidth="1"/>
    <col min="14" max="14" width="35.6640625" style="844" customWidth="1"/>
    <col min="15" max="16" width="11.44140625" style="844"/>
    <col min="17" max="17" width="17.6640625" style="844" customWidth="1"/>
    <col min="18" max="18" width="11.44140625" style="844"/>
    <col min="19" max="19" width="17.6640625" style="844" customWidth="1"/>
    <col min="20" max="16384" width="11.44140625" style="844"/>
  </cols>
  <sheetData>
    <row r="2" spans="1:15" ht="33" thickBot="1">
      <c r="B2" s="1171" t="s">
        <v>534</v>
      </c>
      <c r="C2" s="1171"/>
      <c r="D2" s="1171"/>
      <c r="E2" s="1171"/>
      <c r="F2" s="1171"/>
      <c r="G2" s="1171"/>
      <c r="H2" s="1171"/>
      <c r="I2" s="1171"/>
      <c r="J2" s="1171"/>
      <c r="K2" s="1171"/>
      <c r="L2" s="1171"/>
      <c r="M2" s="1171"/>
    </row>
    <row r="3" spans="1:15" ht="36" customHeight="1" thickBot="1">
      <c r="H3" s="967" t="s">
        <v>535</v>
      </c>
      <c r="I3" s="968" t="s">
        <v>536</v>
      </c>
      <c r="J3" s="968" t="s">
        <v>537</v>
      </c>
      <c r="K3" s="969" t="s">
        <v>538</v>
      </c>
      <c r="M3" s="844"/>
    </row>
    <row r="4" spans="1:15" ht="40.200000000000003" customHeight="1" thickBot="1">
      <c r="B4" s="970" t="s">
        <v>539</v>
      </c>
      <c r="C4" s="1172" t="s">
        <v>540</v>
      </c>
      <c r="D4" s="1172" t="s">
        <v>541</v>
      </c>
      <c r="E4" s="1174" t="s">
        <v>542</v>
      </c>
      <c r="F4" s="1176" t="s">
        <v>543</v>
      </c>
      <c r="G4" s="971" t="s">
        <v>544</v>
      </c>
      <c r="H4" s="1178" t="s">
        <v>545</v>
      </c>
      <c r="I4" s="1178" t="s">
        <v>546</v>
      </c>
      <c r="J4" s="1178" t="s">
        <v>547</v>
      </c>
      <c r="K4" s="1178" t="s">
        <v>548</v>
      </c>
      <c r="L4" s="1180" t="s">
        <v>549</v>
      </c>
      <c r="M4" s="1172" t="s">
        <v>550</v>
      </c>
    </row>
    <row r="5" spans="1:15" ht="24" customHeight="1" thickBot="1">
      <c r="B5" s="972" t="s">
        <v>145</v>
      </c>
      <c r="C5" s="1173"/>
      <c r="D5" s="1173"/>
      <c r="E5" s="1175"/>
      <c r="F5" s="1177"/>
      <c r="H5" s="1179"/>
      <c r="I5" s="1179"/>
      <c r="J5" s="1179"/>
      <c r="K5" s="1179"/>
      <c r="L5" s="1181"/>
      <c r="M5" s="1173"/>
    </row>
    <row r="6" spans="1:15" ht="18" customHeight="1">
      <c r="B6" s="973">
        <v>1</v>
      </c>
      <c r="C6" s="973"/>
      <c r="D6" s="973"/>
      <c r="E6" s="973"/>
      <c r="F6" s="973"/>
      <c r="G6" s="973"/>
      <c r="H6" s="973">
        <f>SUM(H7:H24)</f>
        <v>268.27000000000004</v>
      </c>
      <c r="I6" s="973">
        <f t="shared" ref="I6:K6" si="0">SUM(I7:I24)</f>
        <v>300.22000000000003</v>
      </c>
      <c r="J6" s="973">
        <f t="shared" si="0"/>
        <v>326.12000000000006</v>
      </c>
      <c r="K6" s="973">
        <f t="shared" si="0"/>
        <v>366.12000000000006</v>
      </c>
      <c r="L6" s="974"/>
      <c r="M6" s="975"/>
    </row>
    <row r="7" spans="1:15">
      <c r="B7" s="976" t="s">
        <v>83</v>
      </c>
      <c r="C7" s="977" t="s">
        <v>551</v>
      </c>
      <c r="D7" s="978" t="s">
        <v>552</v>
      </c>
      <c r="E7" s="979" t="s">
        <v>553</v>
      </c>
      <c r="F7" s="980" t="s">
        <v>554</v>
      </c>
      <c r="G7" s="981" t="s">
        <v>555</v>
      </c>
      <c r="H7" s="982">
        <v>87.6</v>
      </c>
      <c r="I7" s="982">
        <v>87.6</v>
      </c>
      <c r="J7" s="982">
        <v>87.6</v>
      </c>
      <c r="K7" s="983">
        <v>87.6</v>
      </c>
      <c r="L7" s="984"/>
      <c r="M7" s="985"/>
    </row>
    <row r="8" spans="1:15">
      <c r="B8" s="976" t="s">
        <v>31</v>
      </c>
      <c r="C8" s="977" t="s">
        <v>551</v>
      </c>
      <c r="D8" s="978" t="s">
        <v>552</v>
      </c>
      <c r="E8" s="979" t="s">
        <v>553</v>
      </c>
      <c r="F8" s="980" t="s">
        <v>554</v>
      </c>
      <c r="G8" s="981" t="s">
        <v>555</v>
      </c>
      <c r="H8" s="982">
        <v>57.4</v>
      </c>
      <c r="I8" s="982">
        <v>57.4</v>
      </c>
      <c r="J8" s="982">
        <v>57.4</v>
      </c>
      <c r="K8" s="983">
        <v>57.4</v>
      </c>
      <c r="L8" s="984"/>
      <c r="M8" s="985"/>
    </row>
    <row r="9" spans="1:15">
      <c r="B9" s="976" t="s">
        <v>397</v>
      </c>
      <c r="C9" s="977" t="s">
        <v>556</v>
      </c>
      <c r="D9" s="978" t="s">
        <v>552</v>
      </c>
      <c r="E9" s="979" t="s">
        <v>557</v>
      </c>
      <c r="F9" s="980" t="s">
        <v>554</v>
      </c>
      <c r="G9" s="981" t="s">
        <v>558</v>
      </c>
      <c r="H9" s="982">
        <v>30</v>
      </c>
      <c r="I9" s="982">
        <v>30</v>
      </c>
      <c r="J9" s="982">
        <v>30</v>
      </c>
      <c r="K9" s="983">
        <v>30</v>
      </c>
      <c r="L9" s="984"/>
      <c r="M9" s="985"/>
    </row>
    <row r="10" spans="1:15">
      <c r="B10" s="976" t="s">
        <v>398</v>
      </c>
      <c r="C10" s="977" t="s">
        <v>556</v>
      </c>
      <c r="D10" s="978" t="s">
        <v>552</v>
      </c>
      <c r="E10" s="979" t="s">
        <v>557</v>
      </c>
      <c r="F10" s="980" t="s">
        <v>554</v>
      </c>
      <c r="G10" s="981" t="s">
        <v>558</v>
      </c>
      <c r="H10" s="982">
        <v>27.9</v>
      </c>
      <c r="I10" s="982">
        <v>27.9</v>
      </c>
      <c r="J10" s="982">
        <v>27.9</v>
      </c>
      <c r="K10" s="983">
        <v>27.9</v>
      </c>
      <c r="L10" s="984"/>
      <c r="M10" s="985"/>
    </row>
    <row r="11" spans="1:15">
      <c r="B11" s="976" t="s">
        <v>559</v>
      </c>
      <c r="C11" s="977" t="s">
        <v>405</v>
      </c>
      <c r="D11" s="978" t="s">
        <v>560</v>
      </c>
      <c r="E11" s="979" t="s">
        <v>553</v>
      </c>
      <c r="F11" s="980" t="s">
        <v>554</v>
      </c>
      <c r="G11" s="981" t="s">
        <v>555</v>
      </c>
      <c r="H11" s="982"/>
      <c r="I11" s="982">
        <v>25.9</v>
      </c>
      <c r="J11" s="982">
        <v>25.9</v>
      </c>
      <c r="K11" s="983">
        <v>25.9</v>
      </c>
      <c r="L11" s="984">
        <v>44835</v>
      </c>
      <c r="M11" s="986" t="s">
        <v>561</v>
      </c>
    </row>
    <row r="12" spans="1:15">
      <c r="B12" s="976" t="s">
        <v>562</v>
      </c>
      <c r="C12" s="977" t="s">
        <v>408</v>
      </c>
      <c r="D12" s="978" t="s">
        <v>560</v>
      </c>
      <c r="E12" s="979"/>
      <c r="F12" s="980"/>
      <c r="G12" s="981"/>
      <c r="H12" s="982"/>
      <c r="I12" s="982"/>
      <c r="J12" s="982">
        <v>25.9</v>
      </c>
      <c r="K12" s="983">
        <v>25.9</v>
      </c>
      <c r="L12" s="984">
        <v>45108</v>
      </c>
      <c r="M12" s="986" t="s">
        <v>561</v>
      </c>
    </row>
    <row r="13" spans="1:15" ht="16.95" customHeight="1">
      <c r="A13" s="987"/>
      <c r="B13" s="976" t="s">
        <v>399</v>
      </c>
      <c r="C13" s="988" t="s">
        <v>563</v>
      </c>
      <c r="D13" s="978" t="s">
        <v>552</v>
      </c>
      <c r="E13" s="979" t="s">
        <v>557</v>
      </c>
      <c r="F13" s="980" t="s">
        <v>564</v>
      </c>
      <c r="G13" s="981" t="s">
        <v>565</v>
      </c>
      <c r="H13" s="982">
        <v>10</v>
      </c>
      <c r="I13" s="982">
        <v>10</v>
      </c>
      <c r="J13" s="982">
        <v>10</v>
      </c>
      <c r="K13" s="983">
        <v>10</v>
      </c>
      <c r="L13" s="984"/>
      <c r="M13" s="985"/>
    </row>
    <row r="14" spans="1:15" ht="16.95" customHeight="1">
      <c r="A14" s="987"/>
      <c r="B14" s="976" t="s">
        <v>566</v>
      </c>
      <c r="C14" s="988" t="s">
        <v>567</v>
      </c>
      <c r="D14" s="978" t="s">
        <v>560</v>
      </c>
      <c r="E14" s="979" t="s">
        <v>557</v>
      </c>
      <c r="F14" s="980" t="s">
        <v>564</v>
      </c>
      <c r="G14" s="981" t="s">
        <v>568</v>
      </c>
      <c r="H14" s="982">
        <v>9.99</v>
      </c>
      <c r="I14" s="982">
        <v>9.99</v>
      </c>
      <c r="J14" s="982">
        <v>9.99</v>
      </c>
      <c r="K14" s="983">
        <v>9.99</v>
      </c>
      <c r="L14" s="984"/>
      <c r="M14" s="985"/>
      <c r="N14" s="844" t="s">
        <v>569</v>
      </c>
      <c r="O14" s="844">
        <v>10</v>
      </c>
    </row>
    <row r="15" spans="1:15" ht="16.95" customHeight="1">
      <c r="A15" s="987"/>
      <c r="B15" s="976" t="s">
        <v>570</v>
      </c>
      <c r="C15" s="988" t="s">
        <v>563</v>
      </c>
      <c r="D15" s="978" t="s">
        <v>560</v>
      </c>
      <c r="E15" s="979" t="s">
        <v>557</v>
      </c>
      <c r="F15" s="980" t="s">
        <v>564</v>
      </c>
      <c r="G15" s="981" t="s">
        <v>555</v>
      </c>
      <c r="H15" s="982">
        <v>5.5</v>
      </c>
      <c r="I15" s="982">
        <v>5.5</v>
      </c>
      <c r="J15" s="982">
        <v>5.5</v>
      </c>
      <c r="K15" s="983">
        <v>5.5</v>
      </c>
      <c r="L15" s="984"/>
      <c r="M15" s="985"/>
    </row>
    <row r="16" spans="1:15" ht="16.95" customHeight="1">
      <c r="A16" s="987"/>
      <c r="B16" s="976" t="s">
        <v>571</v>
      </c>
      <c r="C16" s="988" t="s">
        <v>402</v>
      </c>
      <c r="D16" s="978" t="s">
        <v>560</v>
      </c>
      <c r="E16" s="979" t="s">
        <v>557</v>
      </c>
      <c r="F16" s="980" t="s">
        <v>554</v>
      </c>
      <c r="G16" s="981" t="s">
        <v>555</v>
      </c>
      <c r="H16" s="982">
        <v>10</v>
      </c>
      <c r="I16" s="982">
        <v>10</v>
      </c>
      <c r="J16" s="982">
        <v>10</v>
      </c>
      <c r="K16" s="983">
        <v>10</v>
      </c>
      <c r="L16" s="984"/>
      <c r="M16" s="985"/>
    </row>
    <row r="17" spans="1:15" ht="16.95" customHeight="1">
      <c r="A17" s="987"/>
      <c r="B17" s="976" t="s">
        <v>572</v>
      </c>
      <c r="C17" s="988" t="s">
        <v>403</v>
      </c>
      <c r="D17" s="978" t="s">
        <v>560</v>
      </c>
      <c r="E17" s="979" t="s">
        <v>557</v>
      </c>
      <c r="F17" s="980" t="s">
        <v>554</v>
      </c>
      <c r="G17" s="981" t="s">
        <v>555</v>
      </c>
      <c r="H17" s="982">
        <v>10</v>
      </c>
      <c r="I17" s="982">
        <v>10</v>
      </c>
      <c r="J17" s="982">
        <v>10</v>
      </c>
      <c r="K17" s="983">
        <v>10</v>
      </c>
      <c r="L17" s="984"/>
      <c r="M17" s="985"/>
    </row>
    <row r="18" spans="1:15" ht="16.95" customHeight="1">
      <c r="A18" s="987"/>
      <c r="B18" s="989" t="s">
        <v>573</v>
      </c>
      <c r="C18" s="990" t="s">
        <v>574</v>
      </c>
      <c r="D18" s="991" t="s">
        <v>560</v>
      </c>
      <c r="E18" s="992" t="s">
        <v>557</v>
      </c>
      <c r="F18" s="993" t="s">
        <v>564</v>
      </c>
      <c r="G18" s="994" t="s">
        <v>555</v>
      </c>
      <c r="H18" s="995">
        <v>19.88</v>
      </c>
      <c r="I18" s="995">
        <v>19.88</v>
      </c>
      <c r="J18" s="995">
        <v>19.88</v>
      </c>
      <c r="K18" s="996">
        <v>19.88</v>
      </c>
      <c r="L18" s="997"/>
      <c r="M18" s="998"/>
      <c r="N18" s="844" t="s">
        <v>575</v>
      </c>
      <c r="O18" s="844">
        <v>19.88</v>
      </c>
    </row>
    <row r="19" spans="1:15" ht="16.95" customHeight="1">
      <c r="A19" s="987"/>
      <c r="B19" s="976" t="s">
        <v>576</v>
      </c>
      <c r="C19" s="988" t="s">
        <v>576</v>
      </c>
      <c r="D19" s="978" t="s">
        <v>552</v>
      </c>
      <c r="E19" s="979"/>
      <c r="F19" s="980"/>
      <c r="G19" s="999"/>
      <c r="H19" s="982"/>
      <c r="I19" s="982"/>
      <c r="J19" s="982"/>
      <c r="K19" s="983">
        <v>10</v>
      </c>
      <c r="L19" s="984">
        <v>45658</v>
      </c>
      <c r="M19" s="986" t="s">
        <v>561</v>
      </c>
    </row>
    <row r="20" spans="1:15" ht="16.95" customHeight="1">
      <c r="A20" s="987"/>
      <c r="B20" s="976" t="s">
        <v>577</v>
      </c>
      <c r="C20" s="988" t="s">
        <v>578</v>
      </c>
      <c r="D20" s="978" t="s">
        <v>560</v>
      </c>
      <c r="E20" s="979"/>
      <c r="F20" s="980"/>
      <c r="G20" s="999"/>
      <c r="H20" s="982"/>
      <c r="I20" s="982"/>
      <c r="J20" s="982"/>
      <c r="K20" s="983">
        <v>10</v>
      </c>
      <c r="L20" s="984">
        <v>45658</v>
      </c>
      <c r="M20" s="986" t="s">
        <v>561</v>
      </c>
    </row>
    <row r="21" spans="1:15" ht="16.95" customHeight="1">
      <c r="A21" s="987"/>
      <c r="B21" s="976" t="s">
        <v>579</v>
      </c>
      <c r="C21" s="988" t="s">
        <v>580</v>
      </c>
      <c r="D21" s="978" t="s">
        <v>560</v>
      </c>
      <c r="E21" s="979"/>
      <c r="F21" s="980"/>
      <c r="G21" s="999"/>
      <c r="H21" s="982"/>
      <c r="I21" s="982"/>
      <c r="J21" s="982"/>
      <c r="K21" s="983">
        <v>10</v>
      </c>
      <c r="L21" s="984">
        <v>45658</v>
      </c>
      <c r="M21" s="986" t="s">
        <v>561</v>
      </c>
    </row>
    <row r="22" spans="1:15" ht="16.95" customHeight="1">
      <c r="A22" s="987"/>
      <c r="B22" s="976" t="s">
        <v>581</v>
      </c>
      <c r="C22" s="988" t="s">
        <v>582</v>
      </c>
      <c r="D22" s="978" t="s">
        <v>560</v>
      </c>
      <c r="E22" s="979"/>
      <c r="F22" s="980"/>
      <c r="G22" s="999"/>
      <c r="H22" s="982"/>
      <c r="I22" s="982"/>
      <c r="J22" s="982"/>
      <c r="K22" s="983">
        <v>10</v>
      </c>
      <c r="L22" s="984">
        <v>45658</v>
      </c>
      <c r="M22" s="986" t="s">
        <v>561</v>
      </c>
    </row>
    <row r="23" spans="1:15" ht="23.4" customHeight="1">
      <c r="B23" s="1000" t="s">
        <v>583</v>
      </c>
      <c r="C23" s="978" t="s">
        <v>584</v>
      </c>
      <c r="D23" s="978" t="s">
        <v>560</v>
      </c>
      <c r="E23" s="979"/>
      <c r="F23" s="980"/>
      <c r="G23" s="1001"/>
      <c r="H23" s="982"/>
      <c r="I23" s="1002">
        <v>5</v>
      </c>
      <c r="J23" s="1002">
        <v>5</v>
      </c>
      <c r="K23" s="1003">
        <v>5</v>
      </c>
      <c r="L23" s="1004"/>
      <c r="M23" s="986" t="s">
        <v>561</v>
      </c>
    </row>
    <row r="24" spans="1:15" ht="23.4" customHeight="1">
      <c r="B24" s="1005" t="s">
        <v>585</v>
      </c>
      <c r="C24" s="978"/>
      <c r="D24" s="978" t="s">
        <v>560</v>
      </c>
      <c r="E24" s="979"/>
      <c r="F24" s="980"/>
      <c r="G24" s="1001"/>
      <c r="H24" s="982"/>
      <c r="I24" s="1002">
        <v>1.05</v>
      </c>
      <c r="J24" s="1002">
        <v>1.05</v>
      </c>
      <c r="K24" s="1003">
        <v>1.05</v>
      </c>
      <c r="L24" s="984">
        <v>45078</v>
      </c>
      <c r="M24" s="986" t="s">
        <v>561</v>
      </c>
    </row>
    <row r="25" spans="1:15" ht="5.25" customHeight="1" thickBot="1">
      <c r="B25" s="976"/>
      <c r="C25" s="977"/>
      <c r="D25" s="978"/>
      <c r="E25" s="979"/>
      <c r="F25" s="980"/>
      <c r="G25" s="999"/>
      <c r="H25" s="1006"/>
      <c r="I25" s="1006"/>
      <c r="J25" s="1006"/>
      <c r="K25" s="1006"/>
      <c r="L25" s="984"/>
      <c r="M25" s="986"/>
    </row>
    <row r="26" spans="1:15" ht="21" customHeight="1">
      <c r="B26" s="974">
        <v>2</v>
      </c>
      <c r="C26" s="1007"/>
      <c r="D26" s="1008"/>
      <c r="E26" s="973"/>
      <c r="F26" s="973"/>
      <c r="G26" s="1009"/>
      <c r="H26" s="1010">
        <f>SUM(H27:H32)</f>
        <v>539</v>
      </c>
      <c r="I26" s="1010">
        <f t="shared" ref="I26:K26" si="1">SUM(I27:I32)</f>
        <v>428.69</v>
      </c>
      <c r="J26" s="1010">
        <f t="shared" si="1"/>
        <v>548.69000000000005</v>
      </c>
      <c r="K26" s="1010">
        <f t="shared" si="1"/>
        <v>548.69000000000005</v>
      </c>
      <c r="L26" s="974"/>
      <c r="M26" s="975"/>
    </row>
    <row r="27" spans="1:15">
      <c r="B27" s="1011" t="s">
        <v>32</v>
      </c>
      <c r="C27" s="977" t="s">
        <v>586</v>
      </c>
      <c r="D27" s="978" t="s">
        <v>552</v>
      </c>
      <c r="E27" s="979" t="s">
        <v>553</v>
      </c>
      <c r="F27" s="980" t="s">
        <v>554</v>
      </c>
      <c r="G27" s="981" t="s">
        <v>587</v>
      </c>
      <c r="H27" s="982">
        <v>300</v>
      </c>
      <c r="I27" s="982">
        <v>300</v>
      </c>
      <c r="J27" s="982">
        <v>300</v>
      </c>
      <c r="K27" s="983">
        <v>300</v>
      </c>
      <c r="L27" s="984"/>
      <c r="M27" s="985"/>
    </row>
    <row r="28" spans="1:15" ht="15.6" customHeight="1">
      <c r="B28" s="1011" t="s">
        <v>588</v>
      </c>
      <c r="C28" s="977" t="s">
        <v>589</v>
      </c>
      <c r="D28" s="978" t="s">
        <v>552</v>
      </c>
      <c r="E28" s="979" t="s">
        <v>553</v>
      </c>
      <c r="F28" s="980" t="s">
        <v>554</v>
      </c>
      <c r="G28" s="981" t="s">
        <v>568</v>
      </c>
      <c r="H28" s="982">
        <v>120</v>
      </c>
      <c r="I28" s="982"/>
      <c r="J28" s="982">
        <v>120</v>
      </c>
      <c r="K28" s="983">
        <v>120</v>
      </c>
      <c r="L28" s="984">
        <v>45161</v>
      </c>
      <c r="M28" s="1012" t="s">
        <v>590</v>
      </c>
    </row>
    <row r="29" spans="1:15">
      <c r="B29" s="1011" t="s">
        <v>76</v>
      </c>
      <c r="C29" s="977" t="s">
        <v>591</v>
      </c>
      <c r="D29" s="978" t="s">
        <v>552</v>
      </c>
      <c r="E29" s="979" t="s">
        <v>553</v>
      </c>
      <c r="F29" s="980" t="s">
        <v>554</v>
      </c>
      <c r="G29" s="981" t="s">
        <v>592</v>
      </c>
      <c r="H29" s="982">
        <v>25.34</v>
      </c>
      <c r="I29" s="982">
        <v>25.34</v>
      </c>
      <c r="J29" s="982">
        <v>25.34</v>
      </c>
      <c r="K29" s="983">
        <v>25.34</v>
      </c>
      <c r="L29" s="984"/>
      <c r="M29" s="985"/>
    </row>
    <row r="30" spans="1:15">
      <c r="B30" s="1011" t="s">
        <v>77</v>
      </c>
      <c r="C30" s="977" t="s">
        <v>593</v>
      </c>
      <c r="D30" s="978" t="s">
        <v>552</v>
      </c>
      <c r="E30" s="979" t="s">
        <v>553</v>
      </c>
      <c r="F30" s="980" t="s">
        <v>554</v>
      </c>
      <c r="G30" s="981" t="s">
        <v>592</v>
      </c>
      <c r="H30" s="982">
        <v>35</v>
      </c>
      <c r="I30" s="982">
        <v>35</v>
      </c>
      <c r="J30" s="982">
        <v>35</v>
      </c>
      <c r="K30" s="982">
        <v>35</v>
      </c>
      <c r="L30" s="984"/>
      <c r="M30" s="985"/>
      <c r="N30" s="844" t="s">
        <v>594</v>
      </c>
      <c r="O30" s="844">
        <v>35</v>
      </c>
    </row>
    <row r="31" spans="1:15">
      <c r="B31" s="1011" t="s">
        <v>78</v>
      </c>
      <c r="C31" s="977" t="s">
        <v>593</v>
      </c>
      <c r="D31" s="978" t="s">
        <v>552</v>
      </c>
      <c r="E31" s="979" t="s">
        <v>553</v>
      </c>
      <c r="F31" s="980" t="s">
        <v>554</v>
      </c>
      <c r="G31" s="981" t="s">
        <v>592</v>
      </c>
      <c r="H31" s="982">
        <v>58.66</v>
      </c>
      <c r="I31" s="982">
        <v>58.66</v>
      </c>
      <c r="J31" s="982">
        <v>58.66</v>
      </c>
      <c r="K31" s="983">
        <v>58.66</v>
      </c>
      <c r="L31" s="984"/>
      <c r="M31" s="985"/>
    </row>
    <row r="32" spans="1:15">
      <c r="B32" s="981" t="s">
        <v>595</v>
      </c>
      <c r="C32" s="988" t="s">
        <v>421</v>
      </c>
      <c r="D32" s="978" t="s">
        <v>560</v>
      </c>
      <c r="E32" s="979" t="s">
        <v>557</v>
      </c>
      <c r="F32" s="980" t="s">
        <v>554</v>
      </c>
      <c r="G32" s="981" t="s">
        <v>592</v>
      </c>
      <c r="H32" s="982"/>
      <c r="I32" s="982">
        <v>9.69</v>
      </c>
      <c r="J32" s="982">
        <v>9.69</v>
      </c>
      <c r="K32" s="983">
        <v>9.69</v>
      </c>
      <c r="L32" s="984">
        <v>44927</v>
      </c>
      <c r="M32" s="986" t="s">
        <v>561</v>
      </c>
      <c r="N32" s="844" t="s">
        <v>596</v>
      </c>
      <c r="O32" s="844">
        <v>9.69</v>
      </c>
    </row>
    <row r="33" spans="2:20" ht="7.2" customHeight="1" thickBot="1">
      <c r="B33" s="976"/>
      <c r="C33" s="977"/>
      <c r="D33" s="978"/>
      <c r="E33" s="979"/>
      <c r="F33" s="980"/>
      <c r="G33" s="999"/>
      <c r="H33" s="1006"/>
      <c r="I33" s="1006"/>
      <c r="J33" s="1006"/>
      <c r="K33" s="1006"/>
      <c r="L33" s="984"/>
      <c r="M33" s="986"/>
    </row>
    <row r="34" spans="2:20" ht="22.2" customHeight="1">
      <c r="B34" s="974">
        <v>3</v>
      </c>
      <c r="C34" s="1007"/>
      <c r="D34" s="1008"/>
      <c r="E34" s="973"/>
      <c r="F34" s="973"/>
      <c r="G34" s="1009"/>
      <c r="H34" s="973">
        <f>SUM(H35:H40)</f>
        <v>152.99</v>
      </c>
      <c r="I34" s="973">
        <f t="shared" ref="I34:K34" si="2">SUM(I35:I40)</f>
        <v>152.99</v>
      </c>
      <c r="J34" s="973">
        <f t="shared" si="2"/>
        <v>152.99</v>
      </c>
      <c r="K34" s="973">
        <f t="shared" si="2"/>
        <v>152.99</v>
      </c>
      <c r="L34" s="974"/>
      <c r="M34" s="975"/>
    </row>
    <row r="35" spans="2:20">
      <c r="B35" s="976" t="s">
        <v>152</v>
      </c>
      <c r="C35" s="977" t="s">
        <v>589</v>
      </c>
      <c r="D35" s="978" t="s">
        <v>552</v>
      </c>
      <c r="E35" s="979" t="s">
        <v>553</v>
      </c>
      <c r="F35" s="980" t="s">
        <v>554</v>
      </c>
      <c r="G35" s="976" t="s">
        <v>568</v>
      </c>
      <c r="H35" s="982">
        <v>47.2</v>
      </c>
      <c r="I35" s="982">
        <v>47.2</v>
      </c>
      <c r="J35" s="982">
        <v>47.2</v>
      </c>
      <c r="K35" s="983">
        <v>47.2</v>
      </c>
      <c r="L35" s="984"/>
      <c r="M35" s="986"/>
    </row>
    <row r="36" spans="2:20">
      <c r="B36" s="976" t="s">
        <v>34</v>
      </c>
      <c r="C36" s="977" t="s">
        <v>589</v>
      </c>
      <c r="D36" s="978" t="s">
        <v>552</v>
      </c>
      <c r="E36" s="979" t="s">
        <v>553</v>
      </c>
      <c r="F36" s="980" t="s">
        <v>554</v>
      </c>
      <c r="G36" s="981" t="s">
        <v>568</v>
      </c>
      <c r="H36" s="982">
        <v>54.76</v>
      </c>
      <c r="I36" s="982">
        <v>54.76</v>
      </c>
      <c r="J36" s="982">
        <v>54.76</v>
      </c>
      <c r="K36" s="983">
        <v>54.76</v>
      </c>
      <c r="L36" s="984"/>
      <c r="M36" s="985"/>
    </row>
    <row r="37" spans="2:20">
      <c r="B37" s="976" t="s">
        <v>80</v>
      </c>
      <c r="C37" s="977" t="s">
        <v>597</v>
      </c>
      <c r="D37" s="978" t="s">
        <v>552</v>
      </c>
      <c r="E37" s="979" t="s">
        <v>553</v>
      </c>
      <c r="F37" s="980" t="s">
        <v>554</v>
      </c>
      <c r="G37" s="981" t="s">
        <v>568</v>
      </c>
      <c r="H37" s="982">
        <v>18</v>
      </c>
      <c r="I37" s="982">
        <v>18</v>
      </c>
      <c r="J37" s="982">
        <v>18</v>
      </c>
      <c r="K37" s="983">
        <v>18</v>
      </c>
      <c r="L37" s="984"/>
      <c r="M37" s="985"/>
      <c r="N37" s="844" t="s">
        <v>598</v>
      </c>
      <c r="O37" s="844">
        <v>18</v>
      </c>
    </row>
    <row r="38" spans="2:20" ht="16.95" customHeight="1">
      <c r="B38" s="989" t="s">
        <v>79</v>
      </c>
      <c r="C38" s="990" t="s">
        <v>599</v>
      </c>
      <c r="D38" s="991" t="s">
        <v>552</v>
      </c>
      <c r="E38" s="992" t="s">
        <v>553</v>
      </c>
      <c r="F38" s="993" t="s">
        <v>554</v>
      </c>
      <c r="G38" s="994" t="s">
        <v>568</v>
      </c>
      <c r="H38" s="995">
        <v>15.5</v>
      </c>
      <c r="I38" s="995">
        <v>15.5</v>
      </c>
      <c r="J38" s="995">
        <v>15.5</v>
      </c>
      <c r="K38" s="996">
        <v>15.5</v>
      </c>
      <c r="L38" s="997"/>
      <c r="M38" s="998"/>
    </row>
    <row r="39" spans="2:20" ht="16.5" customHeight="1">
      <c r="B39" s="976" t="s">
        <v>155</v>
      </c>
      <c r="C39" s="988" t="s">
        <v>600</v>
      </c>
      <c r="D39" s="978" t="s">
        <v>552</v>
      </c>
      <c r="E39" s="979" t="s">
        <v>553</v>
      </c>
      <c r="F39" s="980" t="s">
        <v>554</v>
      </c>
      <c r="G39" s="981" t="s">
        <v>568</v>
      </c>
      <c r="H39" s="982">
        <v>7.8</v>
      </c>
      <c r="I39" s="982">
        <v>7.8</v>
      </c>
      <c r="J39" s="982">
        <v>7.8</v>
      </c>
      <c r="K39" s="983">
        <v>7.8</v>
      </c>
      <c r="L39" s="984"/>
      <c r="M39" s="985"/>
      <c r="N39" s="844" t="s">
        <v>601</v>
      </c>
      <c r="O39" s="844">
        <v>7.8</v>
      </c>
    </row>
    <row r="40" spans="2:20" ht="16.95" customHeight="1" thickBot="1">
      <c r="B40" s="976" t="s">
        <v>602</v>
      </c>
      <c r="C40" s="988" t="s">
        <v>603</v>
      </c>
      <c r="D40" s="978" t="s">
        <v>552</v>
      </c>
      <c r="E40" s="979" t="s">
        <v>553</v>
      </c>
      <c r="F40" s="980" t="s">
        <v>554</v>
      </c>
      <c r="G40" s="981" t="s">
        <v>568</v>
      </c>
      <c r="H40" s="982">
        <v>9.73</v>
      </c>
      <c r="I40" s="982">
        <v>9.73</v>
      </c>
      <c r="J40" s="982">
        <v>9.73</v>
      </c>
      <c r="K40" s="983">
        <v>9.73</v>
      </c>
      <c r="L40" s="984"/>
      <c r="M40" s="985"/>
      <c r="N40" s="844" t="s">
        <v>604</v>
      </c>
      <c r="O40" s="844">
        <v>9.73</v>
      </c>
    </row>
    <row r="41" spans="2:20" ht="16.95" customHeight="1" thickBot="1">
      <c r="B41" s="999"/>
      <c r="C41" s="977"/>
      <c r="D41" s="978"/>
      <c r="E41" s="979"/>
      <c r="F41" s="980"/>
      <c r="G41" s="981"/>
      <c r="H41" s="1006"/>
      <c r="I41" s="1006"/>
      <c r="J41" s="1006"/>
      <c r="K41" s="1006"/>
      <c r="L41" s="984"/>
      <c r="M41" s="985"/>
      <c r="Q41" s="1188" t="str">
        <f>+B47</f>
        <v>(Autogenerador)CADASA 1</v>
      </c>
      <c r="R41" s="1189"/>
      <c r="S41" s="1189"/>
      <c r="T41" s="1190"/>
    </row>
    <row r="42" spans="2:20" ht="18.600000000000001" customHeight="1" thickBot="1">
      <c r="B42" s="973">
        <v>4</v>
      </c>
      <c r="C42" s="1013"/>
      <c r="D42" s="1014"/>
      <c r="E42" s="973"/>
      <c r="F42" s="973"/>
      <c r="G42" s="1015"/>
      <c r="H42" s="1010">
        <f>SUM(H43:H80)</f>
        <v>440.98677200000003</v>
      </c>
      <c r="I42" s="1010">
        <f>SUM(I43:I80)</f>
        <v>441.97677200000004</v>
      </c>
      <c r="J42" s="1010">
        <f t="shared" ref="J42:K42" si="3">SUM(J43:J80)</f>
        <v>448.54677200000003</v>
      </c>
      <c r="K42" s="1010">
        <f t="shared" si="3"/>
        <v>532.59677199999999</v>
      </c>
      <c r="L42" s="974"/>
      <c r="M42" s="975"/>
      <c r="Q42" s="1200" t="s">
        <v>840</v>
      </c>
      <c r="R42" s="1201"/>
      <c r="S42" s="1200" t="s">
        <v>841</v>
      </c>
      <c r="T42" s="1201"/>
    </row>
    <row r="43" spans="2:20">
      <c r="B43" s="976" t="s">
        <v>85</v>
      </c>
      <c r="C43" s="977" t="s">
        <v>605</v>
      </c>
      <c r="D43" s="978" t="s">
        <v>552</v>
      </c>
      <c r="E43" s="979" t="s">
        <v>557</v>
      </c>
      <c r="F43" s="980" t="s">
        <v>564</v>
      </c>
      <c r="G43" s="981" t="s">
        <v>606</v>
      </c>
      <c r="H43" s="982">
        <v>51.65</v>
      </c>
      <c r="I43" s="982">
        <v>51.65</v>
      </c>
      <c r="J43" s="982">
        <v>51.65</v>
      </c>
      <c r="K43" s="983">
        <v>51.65</v>
      </c>
      <c r="L43" s="1004"/>
      <c r="M43" s="985"/>
      <c r="Q43" s="1136">
        <v>44378</v>
      </c>
      <c r="R43" s="1137"/>
      <c r="S43" s="1136">
        <v>44743</v>
      </c>
      <c r="T43" s="1137"/>
    </row>
    <row r="44" spans="2:20">
      <c r="B44" s="976" t="s">
        <v>429</v>
      </c>
      <c r="C44" s="977" t="s">
        <v>605</v>
      </c>
      <c r="D44" s="978" t="s">
        <v>552</v>
      </c>
      <c r="E44" s="979" t="s">
        <v>557</v>
      </c>
      <c r="F44" s="980" t="s">
        <v>564</v>
      </c>
      <c r="G44" s="981" t="s">
        <v>606</v>
      </c>
      <c r="H44" s="982">
        <v>32.6</v>
      </c>
      <c r="I44" s="982">
        <v>32.6</v>
      </c>
      <c r="J44" s="982">
        <v>32.6</v>
      </c>
      <c r="K44" s="983">
        <v>32.6</v>
      </c>
      <c r="L44" s="1004"/>
      <c r="M44" s="985"/>
      <c r="Q44" s="1138">
        <v>44409</v>
      </c>
      <c r="R44" s="1139"/>
      <c r="S44" s="1138">
        <v>44774</v>
      </c>
      <c r="T44" s="1139"/>
    </row>
    <row r="45" spans="2:20">
      <c r="B45" s="976" t="s">
        <v>86</v>
      </c>
      <c r="C45" s="977" t="s">
        <v>607</v>
      </c>
      <c r="D45" s="978" t="s">
        <v>552</v>
      </c>
      <c r="E45" s="979" t="s">
        <v>557</v>
      </c>
      <c r="F45" s="980" t="s">
        <v>554</v>
      </c>
      <c r="G45" s="981" t="s">
        <v>606</v>
      </c>
      <c r="H45" s="982">
        <v>72.2</v>
      </c>
      <c r="I45" s="982">
        <v>72.2</v>
      </c>
      <c r="J45" s="982">
        <v>72.2</v>
      </c>
      <c r="K45" s="983">
        <v>72.2</v>
      </c>
      <c r="L45" s="1004"/>
      <c r="M45" s="985"/>
      <c r="N45" s="844" t="s">
        <v>608</v>
      </c>
      <c r="O45" s="844">
        <v>72.2</v>
      </c>
      <c r="Q45" s="1138">
        <v>44440</v>
      </c>
      <c r="R45" s="1139"/>
      <c r="S45" s="1138">
        <v>44805</v>
      </c>
      <c r="T45" s="1139"/>
    </row>
    <row r="46" spans="2:20">
      <c r="B46" s="976" t="s">
        <v>87</v>
      </c>
      <c r="C46" s="977" t="s">
        <v>609</v>
      </c>
      <c r="D46" s="978" t="s">
        <v>552</v>
      </c>
      <c r="E46" s="979" t="s">
        <v>553</v>
      </c>
      <c r="F46" s="980" t="s">
        <v>554</v>
      </c>
      <c r="G46" s="981" t="s">
        <v>610</v>
      </c>
      <c r="H46" s="982">
        <v>28.84</v>
      </c>
      <c r="I46" s="982">
        <v>28.84</v>
      </c>
      <c r="J46" s="982">
        <v>28.84</v>
      </c>
      <c r="K46" s="983">
        <v>28.84</v>
      </c>
      <c r="L46" s="1004"/>
      <c r="M46" s="985"/>
      <c r="N46" s="844" t="s">
        <v>611</v>
      </c>
      <c r="O46" s="844">
        <v>28.84</v>
      </c>
      <c r="Q46" s="1138">
        <v>44470</v>
      </c>
      <c r="R46" s="1139"/>
      <c r="S46" s="1138">
        <v>44835</v>
      </c>
      <c r="T46" s="1139"/>
    </row>
    <row r="47" spans="2:20" ht="21">
      <c r="B47" s="976" t="s">
        <v>834</v>
      </c>
      <c r="C47" s="977" t="s">
        <v>450</v>
      </c>
      <c r="D47" s="978" t="s">
        <v>612</v>
      </c>
      <c r="E47" s="979" t="s">
        <v>553</v>
      </c>
      <c r="F47" s="980" t="s">
        <v>554</v>
      </c>
      <c r="G47" s="981" t="s">
        <v>613</v>
      </c>
      <c r="H47" s="1132">
        <f>+R55</f>
        <v>19.632771999999999</v>
      </c>
      <c r="I47" s="1132">
        <f>+R55</f>
        <v>19.632771999999999</v>
      </c>
      <c r="J47" s="1132">
        <f>+R55</f>
        <v>19.632771999999999</v>
      </c>
      <c r="K47" s="1132">
        <f>+R55</f>
        <v>19.632771999999999</v>
      </c>
      <c r="L47" s="1004"/>
      <c r="M47" s="985"/>
      <c r="N47" s="1133" t="s">
        <v>838</v>
      </c>
      <c r="Q47" s="1138">
        <v>44501</v>
      </c>
      <c r="R47" s="1139"/>
      <c r="S47" s="1138">
        <v>44866</v>
      </c>
      <c r="T47" s="1139"/>
    </row>
    <row r="48" spans="2:20">
      <c r="B48" s="976" t="s">
        <v>614</v>
      </c>
      <c r="C48" s="977" t="s">
        <v>615</v>
      </c>
      <c r="D48" s="978" t="s">
        <v>560</v>
      </c>
      <c r="E48" s="979"/>
      <c r="F48" s="980"/>
      <c r="G48" s="999"/>
      <c r="H48" s="982"/>
      <c r="I48" s="982"/>
      <c r="J48" s="982"/>
      <c r="K48" s="983">
        <v>70</v>
      </c>
      <c r="L48" s="984">
        <v>45658</v>
      </c>
      <c r="M48" s="986" t="s">
        <v>561</v>
      </c>
      <c r="Q48" s="1138">
        <v>44531</v>
      </c>
      <c r="R48" s="1139"/>
      <c r="S48" s="1138">
        <v>44896</v>
      </c>
      <c r="T48" s="1139"/>
    </row>
    <row r="49" spans="2:20">
      <c r="B49" s="976" t="s">
        <v>82</v>
      </c>
      <c r="C49" s="988" t="s">
        <v>616</v>
      </c>
      <c r="D49" s="978" t="s">
        <v>552</v>
      </c>
      <c r="E49" s="979" t="s">
        <v>553</v>
      </c>
      <c r="F49" s="980" t="s">
        <v>554</v>
      </c>
      <c r="G49" s="981" t="s">
        <v>617</v>
      </c>
      <c r="H49" s="982">
        <v>10</v>
      </c>
      <c r="I49" s="982">
        <v>10</v>
      </c>
      <c r="J49" s="982">
        <v>10</v>
      </c>
      <c r="K49" s="983">
        <v>10</v>
      </c>
      <c r="L49" s="984"/>
      <c r="M49" s="985"/>
      <c r="Q49" s="1138">
        <v>44562</v>
      </c>
      <c r="R49" s="1139">
        <v>21.953793000000001</v>
      </c>
      <c r="S49" s="1138">
        <v>44927</v>
      </c>
      <c r="T49" s="1139">
        <v>19.944914000000001</v>
      </c>
    </row>
    <row r="50" spans="2:20">
      <c r="B50" s="976" t="s">
        <v>162</v>
      </c>
      <c r="C50" s="988" t="s">
        <v>618</v>
      </c>
      <c r="D50" s="978" t="s">
        <v>552</v>
      </c>
      <c r="E50" s="979" t="s">
        <v>553</v>
      </c>
      <c r="F50" s="980" t="s">
        <v>554</v>
      </c>
      <c r="G50" s="981" t="s">
        <v>568</v>
      </c>
      <c r="H50" s="1016">
        <v>5.8</v>
      </c>
      <c r="I50" s="1016">
        <v>5.8</v>
      </c>
      <c r="J50" s="1016">
        <v>5.8</v>
      </c>
      <c r="K50" s="1016">
        <v>5.8</v>
      </c>
      <c r="L50" s="984"/>
      <c r="M50" s="985"/>
      <c r="N50" s="844" t="s">
        <v>619</v>
      </c>
      <c r="O50" s="844">
        <v>5.8</v>
      </c>
      <c r="Q50" s="1138">
        <v>44593</v>
      </c>
      <c r="R50" s="1139">
        <v>21.438711000000001</v>
      </c>
      <c r="S50" s="1138">
        <v>44958</v>
      </c>
      <c r="T50" s="1139">
        <v>14.786979000000001</v>
      </c>
    </row>
    <row r="51" spans="2:20">
      <c r="B51" s="976" t="s">
        <v>88</v>
      </c>
      <c r="C51" s="988" t="s">
        <v>620</v>
      </c>
      <c r="D51" s="978" t="s">
        <v>552</v>
      </c>
      <c r="E51" s="979" t="s">
        <v>557</v>
      </c>
      <c r="F51" s="980" t="s">
        <v>564</v>
      </c>
      <c r="G51" s="981" t="s">
        <v>568</v>
      </c>
      <c r="H51" s="982">
        <v>6</v>
      </c>
      <c r="I51" s="982">
        <v>6</v>
      </c>
      <c r="J51" s="982">
        <v>6</v>
      </c>
      <c r="K51" s="982">
        <v>6</v>
      </c>
      <c r="L51" s="984"/>
      <c r="M51" s="985"/>
      <c r="N51" s="844" t="s">
        <v>621</v>
      </c>
      <c r="O51" s="844">
        <v>6</v>
      </c>
      <c r="Q51" s="1138">
        <v>44621</v>
      </c>
      <c r="R51" s="1139">
        <v>16.869710999999999</v>
      </c>
      <c r="S51" s="1138">
        <v>44986</v>
      </c>
      <c r="T51" s="1139">
        <v>17.312501999999999</v>
      </c>
    </row>
    <row r="52" spans="2:20">
      <c r="B52" s="989" t="s">
        <v>622</v>
      </c>
      <c r="C52" s="990" t="s">
        <v>623</v>
      </c>
      <c r="D52" s="991" t="s">
        <v>552</v>
      </c>
      <c r="E52" s="992" t="s">
        <v>553</v>
      </c>
      <c r="F52" s="993" t="s">
        <v>554</v>
      </c>
      <c r="G52" s="994" t="s">
        <v>613</v>
      </c>
      <c r="H52" s="995">
        <v>20</v>
      </c>
      <c r="I52" s="995">
        <v>20</v>
      </c>
      <c r="J52" s="995">
        <v>20.91</v>
      </c>
      <c r="K52" s="996">
        <v>20.91</v>
      </c>
      <c r="L52" s="997">
        <v>45261</v>
      </c>
      <c r="M52" s="998" t="s">
        <v>561</v>
      </c>
      <c r="Q52" s="1138">
        <v>44652</v>
      </c>
      <c r="R52" s="1139">
        <v>18.268872999999999</v>
      </c>
      <c r="S52" s="1138">
        <v>45017</v>
      </c>
      <c r="T52" s="1139"/>
    </row>
    <row r="53" spans="2:20">
      <c r="B53" s="989" t="s">
        <v>624</v>
      </c>
      <c r="C53" s="990"/>
      <c r="D53" s="991" t="s">
        <v>552</v>
      </c>
      <c r="E53" s="992" t="s">
        <v>557</v>
      </c>
      <c r="F53" s="993" t="s">
        <v>554</v>
      </c>
      <c r="G53" s="994" t="s">
        <v>613</v>
      </c>
      <c r="H53" s="995">
        <v>12.52</v>
      </c>
      <c r="I53" s="995">
        <v>12.52</v>
      </c>
      <c r="J53" s="995">
        <v>13.18</v>
      </c>
      <c r="K53" s="996">
        <v>13.18</v>
      </c>
      <c r="L53" s="997">
        <v>45261</v>
      </c>
      <c r="M53" s="998" t="s">
        <v>561</v>
      </c>
      <c r="Q53" s="1138">
        <v>44682</v>
      </c>
      <c r="R53" s="1139"/>
      <c r="S53" s="1138">
        <v>45047</v>
      </c>
      <c r="T53" s="1139"/>
    </row>
    <row r="54" spans="2:20" ht="15" thickBot="1">
      <c r="B54" s="989" t="s">
        <v>166</v>
      </c>
      <c r="C54" s="990" t="s">
        <v>625</v>
      </c>
      <c r="D54" s="991" t="s">
        <v>552</v>
      </c>
      <c r="E54" s="992" t="s">
        <v>553</v>
      </c>
      <c r="F54" s="993" t="s">
        <v>554</v>
      </c>
      <c r="G54" s="994" t="s">
        <v>613</v>
      </c>
      <c r="H54" s="995">
        <v>14</v>
      </c>
      <c r="I54" s="995">
        <v>14</v>
      </c>
      <c r="J54" s="995">
        <v>14</v>
      </c>
      <c r="K54" s="996">
        <v>14</v>
      </c>
      <c r="L54" s="997"/>
      <c r="M54" s="998"/>
      <c r="Q54" s="1140">
        <v>44713</v>
      </c>
      <c r="R54" s="1141"/>
      <c r="S54" s="1138">
        <v>45078</v>
      </c>
      <c r="T54" s="1139"/>
    </row>
    <row r="55" spans="2:20" ht="18.600000000000001" thickBot="1">
      <c r="B55" s="976" t="s">
        <v>168</v>
      </c>
      <c r="C55" s="988" t="s">
        <v>626</v>
      </c>
      <c r="D55" s="978" t="s">
        <v>552</v>
      </c>
      <c r="E55" s="979" t="s">
        <v>553</v>
      </c>
      <c r="F55" s="980" t="s">
        <v>554</v>
      </c>
      <c r="G55" s="981" t="s">
        <v>617</v>
      </c>
      <c r="H55" s="982">
        <v>10</v>
      </c>
      <c r="I55" s="982">
        <v>10</v>
      </c>
      <c r="J55" s="982">
        <v>10</v>
      </c>
      <c r="K55" s="983">
        <v>10</v>
      </c>
      <c r="L55" s="1004"/>
      <c r="M55" s="985"/>
      <c r="Q55" s="1142" t="s">
        <v>839</v>
      </c>
      <c r="R55" s="1143">
        <f>AVERAGE(R43:R54)</f>
        <v>19.632771999999999</v>
      </c>
      <c r="S55" s="1142" t="s">
        <v>839</v>
      </c>
      <c r="T55" s="1143">
        <f>AVERAGE(T43:T54)</f>
        <v>17.348131666666664</v>
      </c>
    </row>
    <row r="56" spans="2:20">
      <c r="B56" s="976" t="s">
        <v>170</v>
      </c>
      <c r="C56" s="988" t="s">
        <v>627</v>
      </c>
      <c r="D56" s="978" t="s">
        <v>552</v>
      </c>
      <c r="E56" s="979" t="s">
        <v>553</v>
      </c>
      <c r="F56" s="980" t="s">
        <v>554</v>
      </c>
      <c r="G56" s="981" t="s">
        <v>617</v>
      </c>
      <c r="H56" s="982">
        <v>10</v>
      </c>
      <c r="I56" s="982">
        <v>10</v>
      </c>
      <c r="J56" s="982">
        <v>10</v>
      </c>
      <c r="K56" s="983">
        <v>10</v>
      </c>
      <c r="L56" s="1004"/>
      <c r="M56" s="985"/>
    </row>
    <row r="57" spans="2:20">
      <c r="B57" s="976" t="s">
        <v>173</v>
      </c>
      <c r="C57" s="988" t="s">
        <v>628</v>
      </c>
      <c r="D57" s="978" t="s">
        <v>552</v>
      </c>
      <c r="E57" s="979" t="s">
        <v>557</v>
      </c>
      <c r="F57" s="980" t="s">
        <v>554</v>
      </c>
      <c r="G57" s="981" t="s">
        <v>568</v>
      </c>
      <c r="H57" s="982">
        <v>8.1199999999999992</v>
      </c>
      <c r="I57" s="982">
        <v>8.1199999999999992</v>
      </c>
      <c r="J57" s="982">
        <v>8.1199999999999992</v>
      </c>
      <c r="K57" s="983">
        <v>8.1199999999999992</v>
      </c>
      <c r="L57" s="1004"/>
      <c r="M57" s="985"/>
    </row>
    <row r="58" spans="2:20">
      <c r="B58" s="976" t="s">
        <v>430</v>
      </c>
      <c r="C58" s="988" t="s">
        <v>629</v>
      </c>
      <c r="D58" s="978" t="s">
        <v>552</v>
      </c>
      <c r="E58" s="979" t="s">
        <v>557</v>
      </c>
      <c r="F58" s="980" t="s">
        <v>564</v>
      </c>
      <c r="G58" s="981" t="s">
        <v>630</v>
      </c>
      <c r="H58" s="982">
        <v>5.12</v>
      </c>
      <c r="I58" s="982">
        <v>5.12</v>
      </c>
      <c r="J58" s="982">
        <v>5.12</v>
      </c>
      <c r="K58" s="983">
        <v>5.12</v>
      </c>
      <c r="L58" s="1004"/>
      <c r="M58" s="985"/>
    </row>
    <row r="59" spans="2:20">
      <c r="B59" s="976" t="s">
        <v>631</v>
      </c>
      <c r="C59" s="988" t="s">
        <v>632</v>
      </c>
      <c r="D59" s="978" t="s">
        <v>552</v>
      </c>
      <c r="E59" s="979" t="s">
        <v>557</v>
      </c>
      <c r="F59" s="980" t="s">
        <v>564</v>
      </c>
      <c r="G59" s="981"/>
      <c r="H59" s="982">
        <v>5.86</v>
      </c>
      <c r="I59" s="982">
        <v>5.86</v>
      </c>
      <c r="J59" s="982">
        <v>5.86</v>
      </c>
      <c r="K59" s="983">
        <v>5.86</v>
      </c>
      <c r="L59" s="1004"/>
      <c r="M59" s="985"/>
    </row>
    <row r="60" spans="2:20">
      <c r="B60" s="976" t="s">
        <v>633</v>
      </c>
      <c r="C60" s="988" t="s">
        <v>634</v>
      </c>
      <c r="D60" s="978" t="s">
        <v>552</v>
      </c>
      <c r="E60" s="979" t="s">
        <v>557</v>
      </c>
      <c r="F60" s="980" t="s">
        <v>564</v>
      </c>
      <c r="G60" s="981" t="s">
        <v>568</v>
      </c>
      <c r="H60" s="982">
        <v>6.3</v>
      </c>
      <c r="I60" s="982">
        <v>6.3</v>
      </c>
      <c r="J60" s="982">
        <v>6.3</v>
      </c>
      <c r="K60" s="983">
        <v>6.3</v>
      </c>
      <c r="L60" s="1004"/>
      <c r="M60" s="985"/>
      <c r="N60" s="844" t="s">
        <v>635</v>
      </c>
      <c r="O60" s="844">
        <v>6.15</v>
      </c>
    </row>
    <row r="61" spans="2:20">
      <c r="B61" s="976" t="s">
        <v>636</v>
      </c>
      <c r="C61" s="988" t="s">
        <v>637</v>
      </c>
      <c r="D61" s="978" t="s">
        <v>552</v>
      </c>
      <c r="E61" s="979" t="s">
        <v>553</v>
      </c>
      <c r="F61" s="980" t="s">
        <v>554</v>
      </c>
      <c r="G61" s="981" t="s">
        <v>638</v>
      </c>
      <c r="H61" s="982">
        <v>8.86</v>
      </c>
      <c r="I61" s="982">
        <v>8.86</v>
      </c>
      <c r="J61" s="982">
        <v>8.86</v>
      </c>
      <c r="K61" s="983">
        <v>8.86</v>
      </c>
      <c r="L61" s="1004"/>
      <c r="M61" s="985" t="s">
        <v>639</v>
      </c>
    </row>
    <row r="62" spans="2:20">
      <c r="B62" s="976" t="s">
        <v>640</v>
      </c>
      <c r="C62" s="988" t="s">
        <v>563</v>
      </c>
      <c r="D62" s="978" t="s">
        <v>560</v>
      </c>
      <c r="E62" s="979" t="s">
        <v>557</v>
      </c>
      <c r="F62" s="980" t="s">
        <v>564</v>
      </c>
      <c r="G62" s="981"/>
      <c r="H62" s="982">
        <v>9</v>
      </c>
      <c r="I62" s="982">
        <v>9</v>
      </c>
      <c r="J62" s="982">
        <v>9</v>
      </c>
      <c r="K62" s="983">
        <v>9</v>
      </c>
      <c r="L62" s="1004"/>
      <c r="M62" s="985"/>
      <c r="R62" s="1121">
        <v>19.632771999999999</v>
      </c>
    </row>
    <row r="63" spans="2:20">
      <c r="B63" s="989" t="s">
        <v>436</v>
      </c>
      <c r="C63" s="990" t="s">
        <v>641</v>
      </c>
      <c r="D63" s="991" t="s">
        <v>552</v>
      </c>
      <c r="E63" s="992" t="s">
        <v>553</v>
      </c>
      <c r="F63" s="993" t="s">
        <v>554</v>
      </c>
      <c r="G63" s="994" t="s">
        <v>642</v>
      </c>
      <c r="H63" s="995">
        <v>19.8</v>
      </c>
      <c r="I63" s="995">
        <v>19.8</v>
      </c>
      <c r="J63" s="995">
        <v>19.8</v>
      </c>
      <c r="K63" s="996">
        <v>19.8</v>
      </c>
      <c r="L63" s="997"/>
      <c r="M63" s="998"/>
      <c r="N63" s="844" t="s">
        <v>643</v>
      </c>
      <c r="O63" s="844">
        <v>19.8</v>
      </c>
    </row>
    <row r="64" spans="2:20">
      <c r="B64" s="976" t="s">
        <v>439</v>
      </c>
      <c r="C64" s="988"/>
      <c r="D64" s="978" t="s">
        <v>552</v>
      </c>
      <c r="E64" s="979" t="s">
        <v>553</v>
      </c>
      <c r="F64" s="980" t="s">
        <v>554</v>
      </c>
      <c r="G64" s="981" t="s">
        <v>613</v>
      </c>
      <c r="H64" s="982">
        <v>7.62</v>
      </c>
      <c r="I64" s="982">
        <v>7.62</v>
      </c>
      <c r="J64" s="982">
        <v>7.62</v>
      </c>
      <c r="K64" s="983">
        <v>7.62</v>
      </c>
      <c r="L64" s="1004"/>
      <c r="M64" s="985"/>
    </row>
    <row r="65" spans="2:15">
      <c r="B65" s="976" t="s">
        <v>644</v>
      </c>
      <c r="C65" s="988" t="s">
        <v>443</v>
      </c>
      <c r="D65" s="978" t="s">
        <v>560</v>
      </c>
      <c r="E65" s="979" t="s">
        <v>553</v>
      </c>
      <c r="F65" s="980" t="s">
        <v>554</v>
      </c>
      <c r="G65" s="981" t="s">
        <v>568</v>
      </c>
      <c r="H65" s="982">
        <v>10</v>
      </c>
      <c r="I65" s="982">
        <v>10</v>
      </c>
      <c r="J65" s="982">
        <v>10</v>
      </c>
      <c r="K65" s="983">
        <v>10</v>
      </c>
      <c r="L65" s="1004"/>
      <c r="M65" s="985"/>
    </row>
    <row r="66" spans="2:15">
      <c r="B66" s="976" t="s">
        <v>645</v>
      </c>
      <c r="C66" s="988" t="s">
        <v>646</v>
      </c>
      <c r="D66" s="978" t="s">
        <v>560</v>
      </c>
      <c r="E66" s="979" t="s">
        <v>553</v>
      </c>
      <c r="F66" s="980" t="s">
        <v>554</v>
      </c>
      <c r="G66" s="981" t="s">
        <v>568</v>
      </c>
      <c r="H66" s="982">
        <v>10</v>
      </c>
      <c r="I66" s="982">
        <v>10</v>
      </c>
      <c r="J66" s="982">
        <v>10</v>
      </c>
      <c r="K66" s="983">
        <v>10</v>
      </c>
      <c r="L66" s="1004"/>
      <c r="M66" s="985"/>
    </row>
    <row r="67" spans="2:15">
      <c r="B67" s="976" t="s">
        <v>647</v>
      </c>
      <c r="C67" s="988" t="s">
        <v>445</v>
      </c>
      <c r="D67" s="978" t="s">
        <v>560</v>
      </c>
      <c r="E67" s="979" t="s">
        <v>553</v>
      </c>
      <c r="F67" s="980" t="s">
        <v>554</v>
      </c>
      <c r="G67" s="981" t="s">
        <v>568</v>
      </c>
      <c r="H67" s="982">
        <v>10</v>
      </c>
      <c r="I67" s="982">
        <v>10</v>
      </c>
      <c r="J67" s="982">
        <v>10</v>
      </c>
      <c r="K67" s="983">
        <v>10</v>
      </c>
      <c r="L67" s="1004"/>
      <c r="M67" s="985"/>
    </row>
    <row r="68" spans="2:15">
      <c r="B68" s="976" t="s">
        <v>648</v>
      </c>
      <c r="C68" s="988" t="s">
        <v>446</v>
      </c>
      <c r="D68" s="978" t="s">
        <v>560</v>
      </c>
      <c r="E68" s="979" t="s">
        <v>557</v>
      </c>
      <c r="F68" s="980" t="s">
        <v>554</v>
      </c>
      <c r="G68" s="981" t="s">
        <v>568</v>
      </c>
      <c r="H68" s="982">
        <v>10</v>
      </c>
      <c r="I68" s="982">
        <v>10</v>
      </c>
      <c r="J68" s="982">
        <v>10</v>
      </c>
      <c r="K68" s="983">
        <v>10</v>
      </c>
      <c r="L68" s="1004"/>
      <c r="M68" s="985"/>
    </row>
    <row r="69" spans="2:15">
      <c r="B69" s="976" t="s">
        <v>649</v>
      </c>
      <c r="C69" s="988" t="s">
        <v>589</v>
      </c>
      <c r="D69" s="978" t="s">
        <v>560</v>
      </c>
      <c r="E69" s="979" t="s">
        <v>553</v>
      </c>
      <c r="F69" s="980" t="s">
        <v>554</v>
      </c>
      <c r="G69" s="981" t="s">
        <v>613</v>
      </c>
      <c r="H69" s="982">
        <v>9.9600000000000009</v>
      </c>
      <c r="I69" s="982">
        <v>9.9600000000000009</v>
      </c>
      <c r="J69" s="982">
        <v>9.9600000000000009</v>
      </c>
      <c r="K69" s="983">
        <v>9.9600000000000009</v>
      </c>
      <c r="L69" s="1004"/>
      <c r="M69" s="985"/>
      <c r="N69" s="844" t="s">
        <v>650</v>
      </c>
      <c r="O69" s="844">
        <v>9.9600000000000009</v>
      </c>
    </row>
    <row r="70" spans="2:15">
      <c r="B70" s="976" t="s">
        <v>651</v>
      </c>
      <c r="C70" s="988" t="s">
        <v>589</v>
      </c>
      <c r="D70" s="978" t="s">
        <v>560</v>
      </c>
      <c r="E70" s="979" t="s">
        <v>553</v>
      </c>
      <c r="F70" s="980" t="s">
        <v>554</v>
      </c>
      <c r="G70" s="981" t="s">
        <v>613</v>
      </c>
      <c r="H70" s="982">
        <v>9.9600000000000009</v>
      </c>
      <c r="I70" s="982">
        <v>9.9600000000000009</v>
      </c>
      <c r="J70" s="982">
        <v>9.9600000000000009</v>
      </c>
      <c r="K70" s="983">
        <v>9.9600000000000009</v>
      </c>
      <c r="L70" s="1004"/>
      <c r="M70" s="985"/>
      <c r="N70" s="844" t="s">
        <v>652</v>
      </c>
      <c r="O70" s="844">
        <v>9.9600000000000009</v>
      </c>
    </row>
    <row r="71" spans="2:15">
      <c r="B71" s="989" t="s">
        <v>653</v>
      </c>
      <c r="C71" s="990" t="s">
        <v>654</v>
      </c>
      <c r="D71" s="991" t="s">
        <v>560</v>
      </c>
      <c r="E71" s="992"/>
      <c r="F71" s="993"/>
      <c r="G71" s="994"/>
      <c r="H71" s="995"/>
      <c r="I71" s="995"/>
      <c r="J71" s="995"/>
      <c r="K71" s="996"/>
      <c r="L71" s="997">
        <v>45839</v>
      </c>
      <c r="M71" s="998" t="s">
        <v>561</v>
      </c>
      <c r="N71" s="844" t="s">
        <v>655</v>
      </c>
    </row>
    <row r="72" spans="2:15">
      <c r="B72" s="976" t="s">
        <v>656</v>
      </c>
      <c r="C72" s="988"/>
      <c r="D72" s="978" t="s">
        <v>560</v>
      </c>
      <c r="E72" s="979"/>
      <c r="F72" s="980"/>
      <c r="G72" s="999"/>
      <c r="H72" s="982"/>
      <c r="I72" s="982"/>
      <c r="J72" s="982"/>
      <c r="K72" s="983">
        <v>9.9</v>
      </c>
      <c r="L72" s="984">
        <v>45658</v>
      </c>
      <c r="M72" s="986" t="s">
        <v>561</v>
      </c>
    </row>
    <row r="73" spans="2:15">
      <c r="B73" s="1017" t="s">
        <v>657</v>
      </c>
      <c r="C73" s="977" t="s">
        <v>658</v>
      </c>
      <c r="D73" s="978" t="s">
        <v>552</v>
      </c>
      <c r="E73" s="979" t="s">
        <v>557</v>
      </c>
      <c r="F73" s="980" t="s">
        <v>564</v>
      </c>
      <c r="G73" s="1001" t="s">
        <v>638</v>
      </c>
      <c r="H73" s="1018">
        <v>4.75</v>
      </c>
      <c r="I73" s="1018">
        <v>4.75</v>
      </c>
      <c r="J73" s="1018">
        <v>4.75</v>
      </c>
      <c r="K73" s="1019">
        <v>4.75</v>
      </c>
      <c r="L73" s="984"/>
      <c r="M73" s="985"/>
    </row>
    <row r="74" spans="2:15">
      <c r="B74" s="976" t="s">
        <v>659</v>
      </c>
      <c r="C74" s="977" t="s">
        <v>603</v>
      </c>
      <c r="D74" s="978" t="s">
        <v>552</v>
      </c>
      <c r="E74" s="979" t="s">
        <v>557</v>
      </c>
      <c r="F74" s="980" t="s">
        <v>564</v>
      </c>
      <c r="G74" s="1001" t="s">
        <v>660</v>
      </c>
      <c r="H74" s="1018">
        <v>2.5</v>
      </c>
      <c r="I74" s="1018">
        <v>2.5</v>
      </c>
      <c r="J74" s="1018">
        <v>2.5</v>
      </c>
      <c r="K74" s="1019">
        <v>2.5</v>
      </c>
      <c r="L74" s="1004"/>
      <c r="M74" s="985"/>
    </row>
    <row r="75" spans="2:15">
      <c r="B75" s="976" t="s">
        <v>661</v>
      </c>
      <c r="C75" s="977" t="s">
        <v>603</v>
      </c>
      <c r="D75" s="978" t="s">
        <v>552</v>
      </c>
      <c r="E75" s="979" t="s">
        <v>557</v>
      </c>
      <c r="F75" s="980" t="s">
        <v>564</v>
      </c>
      <c r="G75" s="1001" t="s">
        <v>660</v>
      </c>
      <c r="H75" s="1018">
        <v>3.12</v>
      </c>
      <c r="I75" s="1018">
        <v>3.12</v>
      </c>
      <c r="J75" s="1018">
        <v>3.12</v>
      </c>
      <c r="K75" s="1019">
        <v>3.12</v>
      </c>
      <c r="L75" s="1004"/>
      <c r="M75" s="985"/>
    </row>
    <row r="76" spans="2:15">
      <c r="B76" s="976" t="s">
        <v>662</v>
      </c>
      <c r="C76" s="977" t="s">
        <v>632</v>
      </c>
      <c r="D76" s="978" t="s">
        <v>560</v>
      </c>
      <c r="E76" s="979" t="s">
        <v>557</v>
      </c>
      <c r="F76" s="980" t="s">
        <v>564</v>
      </c>
      <c r="G76" s="981" t="s">
        <v>568</v>
      </c>
      <c r="H76" s="1018">
        <v>2.024</v>
      </c>
      <c r="I76" s="1018">
        <v>2.024</v>
      </c>
      <c r="J76" s="1018">
        <v>2.024</v>
      </c>
      <c r="K76" s="1019">
        <v>2.024</v>
      </c>
      <c r="L76" s="1004"/>
      <c r="M76" s="985"/>
      <c r="N76" s="844" t="s">
        <v>663</v>
      </c>
      <c r="O76" s="844">
        <v>2.02</v>
      </c>
    </row>
    <row r="77" spans="2:15" ht="13.95" customHeight="1">
      <c r="B77" s="976" t="s">
        <v>664</v>
      </c>
      <c r="C77" s="977" t="s">
        <v>665</v>
      </c>
      <c r="D77" s="978" t="s">
        <v>560</v>
      </c>
      <c r="E77" s="979" t="s">
        <v>557</v>
      </c>
      <c r="F77" s="980" t="s">
        <v>564</v>
      </c>
      <c r="G77" s="1001" t="s">
        <v>666</v>
      </c>
      <c r="H77" s="1018">
        <v>4.75</v>
      </c>
      <c r="I77" s="1018">
        <v>4.75</v>
      </c>
      <c r="J77" s="1018">
        <v>4.75</v>
      </c>
      <c r="K77" s="1019">
        <v>4.75</v>
      </c>
      <c r="L77" s="1004"/>
      <c r="M77" s="985"/>
    </row>
    <row r="78" spans="2:15" ht="13.95" customHeight="1">
      <c r="B78" s="976" t="s">
        <v>453</v>
      </c>
      <c r="C78" s="977" t="s">
        <v>667</v>
      </c>
      <c r="D78" s="978" t="s">
        <v>560</v>
      </c>
      <c r="E78" s="979"/>
      <c r="F78" s="980"/>
      <c r="G78" s="980"/>
      <c r="H78" s="1020"/>
      <c r="I78" s="1021"/>
      <c r="J78" s="1021"/>
      <c r="K78" s="1019">
        <v>4.1500000000000004</v>
      </c>
      <c r="L78" s="984">
        <v>45658</v>
      </c>
      <c r="M78" s="986" t="s">
        <v>561</v>
      </c>
    </row>
    <row r="79" spans="2:15" ht="13.95" customHeight="1">
      <c r="B79" s="976" t="s">
        <v>668</v>
      </c>
      <c r="C79" s="977" t="s">
        <v>454</v>
      </c>
      <c r="D79" s="978" t="s">
        <v>560</v>
      </c>
      <c r="E79" s="979"/>
      <c r="F79" s="980"/>
      <c r="G79" s="980"/>
      <c r="H79" s="1020"/>
      <c r="I79" s="1018">
        <v>0.99</v>
      </c>
      <c r="J79" s="1018">
        <v>0.99</v>
      </c>
      <c r="K79" s="1019">
        <v>0.99</v>
      </c>
      <c r="L79" s="984">
        <v>45017</v>
      </c>
      <c r="M79" s="986" t="s">
        <v>561</v>
      </c>
    </row>
    <row r="80" spans="2:15" ht="13.95" customHeight="1">
      <c r="B80" s="976" t="s">
        <v>669</v>
      </c>
      <c r="C80" s="977"/>
      <c r="D80" s="978" t="s">
        <v>560</v>
      </c>
      <c r="E80" s="979"/>
      <c r="F80" s="980"/>
      <c r="G80" s="980"/>
      <c r="H80" s="1020"/>
      <c r="I80" s="1021"/>
      <c r="J80" s="1018">
        <v>5</v>
      </c>
      <c r="K80" s="1019">
        <v>5</v>
      </c>
      <c r="L80" s="984">
        <v>45108</v>
      </c>
      <c r="M80" s="986" t="s">
        <v>561</v>
      </c>
    </row>
    <row r="81" spans="1:20" ht="7.2" customHeight="1" thickBot="1">
      <c r="B81" s="976"/>
      <c r="C81" s="977"/>
      <c r="D81" s="978"/>
      <c r="E81" s="979"/>
      <c r="F81" s="980"/>
      <c r="G81" s="999"/>
      <c r="H81" s="1006"/>
      <c r="I81" s="1006"/>
      <c r="J81" s="1006"/>
      <c r="K81" s="1006"/>
      <c r="L81" s="984"/>
      <c r="M81" s="986"/>
    </row>
    <row r="82" spans="1:20" ht="21" customHeight="1" thickBot="1">
      <c r="B82" s="973">
        <v>5</v>
      </c>
      <c r="C82" s="1013"/>
      <c r="D82" s="1014"/>
      <c r="E82" s="973"/>
      <c r="F82" s="973"/>
      <c r="G82" s="1015"/>
      <c r="H82" s="973">
        <f>SUM(H83:H127)</f>
        <v>770.67862099999991</v>
      </c>
      <c r="I82" s="1010">
        <f>SUM(I83:I127)</f>
        <v>787.33862099999988</v>
      </c>
      <c r="J82" s="973">
        <f t="shared" ref="J82:K82" si="4">SUM(J83:J127)</f>
        <v>832.22862099999986</v>
      </c>
      <c r="K82" s="973">
        <f t="shared" si="4"/>
        <v>850.26862099999983</v>
      </c>
      <c r="L82" s="974"/>
      <c r="M82" s="975"/>
      <c r="Q82" s="1188" t="s">
        <v>420</v>
      </c>
      <c r="R82" s="1189"/>
      <c r="S82" s="1189"/>
      <c r="T82" s="1190"/>
    </row>
    <row r="83" spans="1:20" ht="15" thickBot="1">
      <c r="B83" s="976" t="s">
        <v>670</v>
      </c>
      <c r="C83" s="977" t="s">
        <v>671</v>
      </c>
      <c r="D83" s="978" t="s">
        <v>552</v>
      </c>
      <c r="E83" s="979" t="s">
        <v>553</v>
      </c>
      <c r="F83" s="980" t="s">
        <v>554</v>
      </c>
      <c r="G83" s="981" t="s">
        <v>672</v>
      </c>
      <c r="H83" s="982">
        <v>6.66</v>
      </c>
      <c r="I83" s="982">
        <v>6.66</v>
      </c>
      <c r="J83" s="982">
        <v>6.66</v>
      </c>
      <c r="K83" s="983">
        <v>6.66</v>
      </c>
      <c r="L83" s="1004"/>
      <c r="M83" s="985"/>
      <c r="Q83" s="1200" t="s">
        <v>840</v>
      </c>
      <c r="R83" s="1201"/>
      <c r="S83" s="1200" t="s">
        <v>841</v>
      </c>
      <c r="T83" s="1201"/>
    </row>
    <row r="84" spans="1:20">
      <c r="B84" s="976" t="s">
        <v>5</v>
      </c>
      <c r="C84" s="977" t="s">
        <v>603</v>
      </c>
      <c r="D84" s="978" t="s">
        <v>552</v>
      </c>
      <c r="E84" s="979" t="s">
        <v>553</v>
      </c>
      <c r="F84" s="980" t="s">
        <v>554</v>
      </c>
      <c r="G84" s="981" t="s">
        <v>672</v>
      </c>
      <c r="H84" s="982">
        <v>7</v>
      </c>
      <c r="I84" s="982">
        <v>7</v>
      </c>
      <c r="J84" s="982">
        <v>7</v>
      </c>
      <c r="K84" s="983">
        <v>7</v>
      </c>
      <c r="L84" s="1004"/>
      <c r="M84" s="985"/>
      <c r="Q84" s="1136">
        <v>44378</v>
      </c>
      <c r="R84" s="1137">
        <v>127.22</v>
      </c>
      <c r="S84" s="1136">
        <v>44743</v>
      </c>
      <c r="T84" s="1137">
        <v>192.76</v>
      </c>
    </row>
    <row r="85" spans="1:20" ht="18.600000000000001" customHeight="1">
      <c r="A85" s="987"/>
      <c r="B85" s="981" t="s">
        <v>673</v>
      </c>
      <c r="C85" s="988" t="s">
        <v>589</v>
      </c>
      <c r="D85" s="978" t="s">
        <v>674</v>
      </c>
      <c r="E85" s="979" t="s">
        <v>553</v>
      </c>
      <c r="F85" s="980" t="s">
        <v>554</v>
      </c>
      <c r="G85" s="981" t="s">
        <v>675</v>
      </c>
      <c r="H85" s="982">
        <v>55</v>
      </c>
      <c r="I85" s="982">
        <v>55</v>
      </c>
      <c r="J85" s="982">
        <v>55</v>
      </c>
      <c r="K85" s="983">
        <v>55</v>
      </c>
      <c r="L85" s="1004"/>
      <c r="M85" s="985"/>
      <c r="Q85" s="1138">
        <v>44409</v>
      </c>
      <c r="R85" s="1139">
        <v>157.44</v>
      </c>
      <c r="S85" s="1138">
        <v>44774</v>
      </c>
      <c r="T85" s="1139">
        <v>203.31456800000001</v>
      </c>
    </row>
    <row r="86" spans="1:20" ht="18.600000000000001" customHeight="1">
      <c r="A86" s="987"/>
      <c r="B86" s="981" t="s">
        <v>676</v>
      </c>
      <c r="C86" s="988" t="s">
        <v>677</v>
      </c>
      <c r="D86" s="978" t="s">
        <v>674</v>
      </c>
      <c r="E86" s="979" t="s">
        <v>553</v>
      </c>
      <c r="F86" s="980" t="s">
        <v>554</v>
      </c>
      <c r="G86" s="981" t="s">
        <v>675</v>
      </c>
      <c r="H86" s="982">
        <v>17.5</v>
      </c>
      <c r="I86" s="982">
        <v>17.5</v>
      </c>
      <c r="J86" s="982">
        <v>17.5</v>
      </c>
      <c r="K86" s="983">
        <v>17.5</v>
      </c>
      <c r="L86" s="1004"/>
      <c r="M86" s="985"/>
      <c r="Q86" s="1138">
        <v>44440</v>
      </c>
      <c r="R86" s="1139">
        <v>120.77</v>
      </c>
      <c r="S86" s="1138">
        <v>44805</v>
      </c>
      <c r="T86" s="1139">
        <v>51.206429999999997</v>
      </c>
    </row>
    <row r="87" spans="1:20">
      <c r="B87" s="976" t="s">
        <v>678</v>
      </c>
      <c r="C87" s="977" t="s">
        <v>677</v>
      </c>
      <c r="D87" s="978" t="s">
        <v>674</v>
      </c>
      <c r="E87" s="979" t="s">
        <v>553</v>
      </c>
      <c r="F87" s="980" t="s">
        <v>554</v>
      </c>
      <c r="G87" s="981" t="s">
        <v>675</v>
      </c>
      <c r="H87" s="982">
        <v>52.5</v>
      </c>
      <c r="I87" s="982">
        <v>52.5</v>
      </c>
      <c r="J87" s="982">
        <v>52.5</v>
      </c>
      <c r="K87" s="983">
        <v>52.5</v>
      </c>
      <c r="L87" s="1004"/>
      <c r="M87" s="985"/>
      <c r="Q87" s="1138">
        <v>44470</v>
      </c>
      <c r="R87" s="1139">
        <v>150.88999999999999</v>
      </c>
      <c r="S87" s="1138">
        <v>44835</v>
      </c>
      <c r="T87" s="1139">
        <v>188.46</v>
      </c>
    </row>
    <row r="88" spans="1:20">
      <c r="B88" s="976" t="s">
        <v>679</v>
      </c>
      <c r="C88" s="977" t="s">
        <v>680</v>
      </c>
      <c r="D88" s="978" t="s">
        <v>674</v>
      </c>
      <c r="E88" s="979" t="s">
        <v>553</v>
      </c>
      <c r="F88" s="980" t="s">
        <v>554</v>
      </c>
      <c r="G88" s="981" t="s">
        <v>675</v>
      </c>
      <c r="H88" s="982">
        <v>62.5</v>
      </c>
      <c r="I88" s="982">
        <v>51.75</v>
      </c>
      <c r="J88" s="982">
        <v>51.75</v>
      </c>
      <c r="K88" s="983">
        <v>51.75</v>
      </c>
      <c r="L88" s="1004"/>
      <c r="M88" s="985"/>
      <c r="Q88" s="1138">
        <v>44501</v>
      </c>
      <c r="R88" s="1139">
        <v>159.47</v>
      </c>
      <c r="S88" s="1138">
        <v>44866</v>
      </c>
      <c r="T88" s="1139">
        <v>257.23852799999997</v>
      </c>
    </row>
    <row r="89" spans="1:20">
      <c r="B89" s="976" t="s">
        <v>681</v>
      </c>
      <c r="C89" s="977" t="s">
        <v>677</v>
      </c>
      <c r="D89" s="978" t="s">
        <v>674</v>
      </c>
      <c r="E89" s="979" t="s">
        <v>553</v>
      </c>
      <c r="F89" s="980" t="s">
        <v>554</v>
      </c>
      <c r="G89" s="981" t="s">
        <v>675</v>
      </c>
      <c r="H89" s="982">
        <v>32.5</v>
      </c>
      <c r="I89" s="982">
        <v>32.5</v>
      </c>
      <c r="J89" s="982">
        <v>32.5</v>
      </c>
      <c r="K89" s="983">
        <v>32.5</v>
      </c>
      <c r="L89" s="1004"/>
      <c r="M89" s="985"/>
      <c r="Q89" s="1138">
        <v>44531</v>
      </c>
      <c r="R89" s="1139">
        <v>1.92</v>
      </c>
      <c r="S89" s="1138">
        <v>44896</v>
      </c>
      <c r="T89" s="1139">
        <v>164.98906400000001</v>
      </c>
    </row>
    <row r="90" spans="1:20">
      <c r="B90" s="976" t="s">
        <v>682</v>
      </c>
      <c r="C90" s="977" t="s">
        <v>680</v>
      </c>
      <c r="D90" s="978" t="s">
        <v>674</v>
      </c>
      <c r="E90" s="979" t="s">
        <v>557</v>
      </c>
      <c r="F90" s="980" t="s">
        <v>554</v>
      </c>
      <c r="G90" s="981" t="s">
        <v>675</v>
      </c>
      <c r="H90" s="982">
        <v>50</v>
      </c>
      <c r="I90" s="982">
        <v>50</v>
      </c>
      <c r="J90" s="982">
        <v>50</v>
      </c>
      <c r="K90" s="983">
        <v>50</v>
      </c>
      <c r="L90" s="1004"/>
      <c r="M90" s="985"/>
      <c r="Q90" s="1138">
        <v>44562</v>
      </c>
      <c r="R90" s="1139">
        <v>77.89</v>
      </c>
    </row>
    <row r="91" spans="1:20" ht="21">
      <c r="B91" s="976" t="s">
        <v>683</v>
      </c>
      <c r="C91" s="977" t="s">
        <v>684</v>
      </c>
      <c r="D91" s="978" t="s">
        <v>685</v>
      </c>
      <c r="E91" s="979" t="s">
        <v>557</v>
      </c>
      <c r="F91" s="980" t="s">
        <v>564</v>
      </c>
      <c r="G91" s="1022" t="s">
        <v>672</v>
      </c>
      <c r="H91" s="1023">
        <f>+R96</f>
        <v>136.978621</v>
      </c>
      <c r="I91" s="1023">
        <f>+R96</f>
        <v>136.978621</v>
      </c>
      <c r="J91" s="1023">
        <f>+R96</f>
        <v>136.978621</v>
      </c>
      <c r="K91" s="1024">
        <f>+R96</f>
        <v>136.978621</v>
      </c>
      <c r="L91" s="1004"/>
      <c r="M91" s="985"/>
      <c r="N91" s="1134" t="s">
        <v>836</v>
      </c>
      <c r="O91" s="1135"/>
      <c r="P91" s="1135"/>
      <c r="Q91" s="1138">
        <v>44593</v>
      </c>
      <c r="R91" s="1139">
        <v>158.81</v>
      </c>
    </row>
    <row r="92" spans="1:20">
      <c r="B92" s="976" t="s">
        <v>686</v>
      </c>
      <c r="C92" s="977" t="s">
        <v>687</v>
      </c>
      <c r="D92" s="978" t="s">
        <v>560</v>
      </c>
      <c r="E92" s="979" t="s">
        <v>553</v>
      </c>
      <c r="F92" s="980" t="s">
        <v>554</v>
      </c>
      <c r="G92" s="981" t="s">
        <v>675</v>
      </c>
      <c r="H92" s="982">
        <v>120</v>
      </c>
      <c r="I92" s="982">
        <v>120</v>
      </c>
      <c r="J92" s="982">
        <v>120</v>
      </c>
      <c r="K92" s="983">
        <v>120</v>
      </c>
      <c r="L92" s="1004"/>
      <c r="M92" s="985"/>
      <c r="Q92" s="1138">
        <v>44621</v>
      </c>
      <c r="R92" s="1139">
        <v>193.77</v>
      </c>
    </row>
    <row r="93" spans="1:20">
      <c r="B93" s="976" t="s">
        <v>688</v>
      </c>
      <c r="C93" s="977" t="s">
        <v>689</v>
      </c>
      <c r="D93" s="978" t="s">
        <v>674</v>
      </c>
      <c r="E93" s="979" t="s">
        <v>557</v>
      </c>
      <c r="F93" s="980" t="s">
        <v>564</v>
      </c>
      <c r="G93" s="981" t="s">
        <v>675</v>
      </c>
      <c r="H93" s="982">
        <v>66</v>
      </c>
      <c r="I93" s="982">
        <v>66</v>
      </c>
      <c r="J93" s="982">
        <v>66</v>
      </c>
      <c r="K93" s="983">
        <v>66</v>
      </c>
      <c r="L93" s="984"/>
      <c r="M93" s="985"/>
      <c r="Q93" s="1138">
        <v>44652</v>
      </c>
      <c r="R93" s="1139">
        <v>115.893252</v>
      </c>
    </row>
    <row r="94" spans="1:20">
      <c r="B94" s="981" t="s">
        <v>690</v>
      </c>
      <c r="C94" s="988" t="s">
        <v>691</v>
      </c>
      <c r="D94" s="978" t="s">
        <v>560</v>
      </c>
      <c r="E94" s="979" t="s">
        <v>557</v>
      </c>
      <c r="F94" s="980" t="s">
        <v>564</v>
      </c>
      <c r="G94" s="981" t="s">
        <v>672</v>
      </c>
      <c r="H94" s="982">
        <v>9.99</v>
      </c>
      <c r="I94" s="982">
        <v>9.99</v>
      </c>
      <c r="J94" s="982">
        <v>9.99</v>
      </c>
      <c r="K94" s="983">
        <v>9.99</v>
      </c>
      <c r="L94" s="1004"/>
      <c r="M94" s="985"/>
      <c r="Q94" s="1138">
        <v>44682</v>
      </c>
      <c r="R94" s="1139">
        <v>176.35563200000001</v>
      </c>
    </row>
    <row r="95" spans="1:20" ht="15" thickBot="1">
      <c r="B95" s="981" t="s">
        <v>692</v>
      </c>
      <c r="C95" s="988" t="s">
        <v>693</v>
      </c>
      <c r="D95" s="978" t="s">
        <v>560</v>
      </c>
      <c r="E95" s="979" t="s">
        <v>557</v>
      </c>
      <c r="F95" s="980" t="s">
        <v>564</v>
      </c>
      <c r="G95" s="981" t="s">
        <v>672</v>
      </c>
      <c r="H95" s="983">
        <v>9.99</v>
      </c>
      <c r="I95" s="983">
        <v>9.99</v>
      </c>
      <c r="J95" s="983">
        <v>9.99</v>
      </c>
      <c r="K95" s="983">
        <v>9.99</v>
      </c>
      <c r="L95" s="1004"/>
      <c r="M95" s="985"/>
      <c r="N95" s="844" t="s">
        <v>694</v>
      </c>
      <c r="O95" s="844">
        <v>9.99</v>
      </c>
      <c r="Q95" s="1140">
        <v>44713</v>
      </c>
      <c r="R95" s="1141">
        <v>203.31456800000001</v>
      </c>
    </row>
    <row r="96" spans="1:20" ht="18.600000000000001" thickBot="1">
      <c r="B96" s="981" t="s">
        <v>695</v>
      </c>
      <c r="C96" s="988" t="s">
        <v>491</v>
      </c>
      <c r="D96" s="978" t="s">
        <v>560</v>
      </c>
      <c r="E96" s="979" t="s">
        <v>557</v>
      </c>
      <c r="F96" s="980" t="s">
        <v>564</v>
      </c>
      <c r="G96" s="981" t="s">
        <v>696</v>
      </c>
      <c r="H96" s="1025">
        <v>4.8</v>
      </c>
      <c r="I96" s="1025">
        <v>4.8</v>
      </c>
      <c r="J96" s="1025">
        <v>4.8</v>
      </c>
      <c r="K96" s="1026">
        <v>4.8</v>
      </c>
      <c r="L96" s="1004"/>
      <c r="M96" s="985"/>
      <c r="N96" s="844" t="s">
        <v>697</v>
      </c>
      <c r="O96" s="844">
        <v>4.8</v>
      </c>
      <c r="Q96" s="1142" t="s">
        <v>839</v>
      </c>
      <c r="R96" s="1143">
        <f>AVERAGE(R84:R95)</f>
        <v>136.978621</v>
      </c>
      <c r="S96" s="1142" t="s">
        <v>839</v>
      </c>
      <c r="T96" s="1143">
        <f>AVERAGE(T84:T95)</f>
        <v>176.32809833333332</v>
      </c>
    </row>
    <row r="97" spans="2:15">
      <c r="B97" s="994" t="s">
        <v>698</v>
      </c>
      <c r="C97" s="990" t="s">
        <v>699</v>
      </c>
      <c r="D97" s="991" t="s">
        <v>560</v>
      </c>
      <c r="E97" s="992" t="s">
        <v>557</v>
      </c>
      <c r="F97" s="993" t="s">
        <v>564</v>
      </c>
      <c r="G97" s="994" t="s">
        <v>700</v>
      </c>
      <c r="H97" s="1027">
        <v>0.96</v>
      </c>
      <c r="I97" s="1027">
        <v>0.96</v>
      </c>
      <c r="J97" s="1027">
        <v>0.96</v>
      </c>
      <c r="K97" s="1027">
        <v>0.96</v>
      </c>
      <c r="L97" s="1028"/>
      <c r="M97" s="1029"/>
      <c r="N97" s="844" t="s">
        <v>701</v>
      </c>
      <c r="O97" s="844">
        <v>0.96</v>
      </c>
    </row>
    <row r="98" spans="2:15">
      <c r="B98" s="981" t="s">
        <v>702</v>
      </c>
      <c r="C98" s="988" t="s">
        <v>703</v>
      </c>
      <c r="D98" s="978" t="s">
        <v>560</v>
      </c>
      <c r="E98" s="979" t="s">
        <v>557</v>
      </c>
      <c r="F98" s="980" t="s">
        <v>564</v>
      </c>
      <c r="G98" s="981" t="s">
        <v>704</v>
      </c>
      <c r="H98" s="983">
        <v>8.5</v>
      </c>
      <c r="I98" s="983">
        <v>8.5</v>
      </c>
      <c r="J98" s="983">
        <v>8.5</v>
      </c>
      <c r="K98" s="983">
        <v>8.5</v>
      </c>
      <c r="L98" s="1004"/>
      <c r="M98" s="985"/>
      <c r="N98" s="844" t="s">
        <v>705</v>
      </c>
      <c r="O98" s="844">
        <v>8.5</v>
      </c>
    </row>
    <row r="99" spans="2:15">
      <c r="B99" s="981" t="s">
        <v>706</v>
      </c>
      <c r="C99" s="988" t="s">
        <v>707</v>
      </c>
      <c r="D99" s="978" t="s">
        <v>560</v>
      </c>
      <c r="E99" s="979" t="s">
        <v>557</v>
      </c>
      <c r="F99" s="980" t="s">
        <v>564</v>
      </c>
      <c r="G99" s="981" t="s">
        <v>708</v>
      </c>
      <c r="H99" s="983">
        <v>8.5</v>
      </c>
      <c r="I99" s="983">
        <v>8.5</v>
      </c>
      <c r="J99" s="983">
        <v>8.5</v>
      </c>
      <c r="K99" s="983">
        <v>8.5</v>
      </c>
      <c r="L99" s="1004"/>
      <c r="M99" s="985"/>
      <c r="N99" s="844" t="s">
        <v>709</v>
      </c>
      <c r="O99" s="844">
        <v>8.5</v>
      </c>
    </row>
    <row r="100" spans="2:15">
      <c r="B100" s="981" t="s">
        <v>710</v>
      </c>
      <c r="C100" s="988" t="s">
        <v>711</v>
      </c>
      <c r="D100" s="978" t="s">
        <v>560</v>
      </c>
      <c r="E100" s="979" t="s">
        <v>557</v>
      </c>
      <c r="F100" s="980" t="s">
        <v>564</v>
      </c>
      <c r="G100" s="981" t="s">
        <v>708</v>
      </c>
      <c r="H100" s="982">
        <v>9.52</v>
      </c>
      <c r="I100" s="982">
        <v>9.52</v>
      </c>
      <c r="J100" s="982">
        <v>9.52</v>
      </c>
      <c r="K100" s="983">
        <v>9.52</v>
      </c>
      <c r="L100" s="1004"/>
      <c r="M100" s="985"/>
    </row>
    <row r="101" spans="2:15">
      <c r="B101" s="994" t="s">
        <v>712</v>
      </c>
      <c r="C101" s="990" t="s">
        <v>713</v>
      </c>
      <c r="D101" s="991" t="s">
        <v>560</v>
      </c>
      <c r="E101" s="992" t="s">
        <v>557</v>
      </c>
      <c r="F101" s="993" t="s">
        <v>564</v>
      </c>
      <c r="G101" s="994" t="s">
        <v>672</v>
      </c>
      <c r="H101" s="995">
        <v>10.78</v>
      </c>
      <c r="I101" s="995">
        <v>10.78</v>
      </c>
      <c r="J101" s="995">
        <v>10.78</v>
      </c>
      <c r="K101" s="996">
        <v>10.78</v>
      </c>
      <c r="L101" s="1028"/>
      <c r="M101" s="1030"/>
    </row>
    <row r="102" spans="2:15">
      <c r="B102" s="981" t="s">
        <v>714</v>
      </c>
      <c r="C102" s="988" t="s">
        <v>715</v>
      </c>
      <c r="D102" s="978" t="s">
        <v>560</v>
      </c>
      <c r="E102" s="979" t="s">
        <v>557</v>
      </c>
      <c r="F102" s="980" t="s">
        <v>564</v>
      </c>
      <c r="G102" s="981" t="s">
        <v>672</v>
      </c>
      <c r="H102" s="982">
        <v>8.5</v>
      </c>
      <c r="I102" s="982">
        <v>8.5</v>
      </c>
      <c r="J102" s="982">
        <v>8.5</v>
      </c>
      <c r="K102" s="983">
        <v>8.5</v>
      </c>
      <c r="L102" s="1004"/>
      <c r="M102" s="985"/>
    </row>
    <row r="103" spans="2:15">
      <c r="B103" s="981" t="s">
        <v>716</v>
      </c>
      <c r="C103" s="988" t="s">
        <v>713</v>
      </c>
      <c r="D103" s="978" t="s">
        <v>560</v>
      </c>
      <c r="E103" s="979" t="s">
        <v>553</v>
      </c>
      <c r="F103" s="980" t="s">
        <v>554</v>
      </c>
      <c r="G103" s="981" t="s">
        <v>672</v>
      </c>
      <c r="H103" s="982">
        <v>10</v>
      </c>
      <c r="I103" s="982">
        <v>10</v>
      </c>
      <c r="J103" s="982">
        <v>10</v>
      </c>
      <c r="K103" s="983">
        <v>10</v>
      </c>
      <c r="L103" s="1004"/>
      <c r="M103" s="985"/>
    </row>
    <row r="104" spans="2:15">
      <c r="B104" s="981" t="s">
        <v>717</v>
      </c>
      <c r="C104" s="988" t="s">
        <v>713</v>
      </c>
      <c r="D104" s="978" t="s">
        <v>560</v>
      </c>
      <c r="E104" s="979" t="s">
        <v>557</v>
      </c>
      <c r="F104" s="980" t="s">
        <v>564</v>
      </c>
      <c r="G104" s="981" t="s">
        <v>672</v>
      </c>
      <c r="H104" s="982">
        <v>10</v>
      </c>
      <c r="I104" s="982">
        <v>10</v>
      </c>
      <c r="J104" s="982">
        <v>10</v>
      </c>
      <c r="K104" s="983">
        <v>10</v>
      </c>
      <c r="L104" s="1004"/>
      <c r="M104" s="985"/>
    </row>
    <row r="105" spans="2:15">
      <c r="B105" s="994" t="s">
        <v>718</v>
      </c>
      <c r="C105" s="990" t="s">
        <v>719</v>
      </c>
      <c r="D105" s="991" t="s">
        <v>560</v>
      </c>
      <c r="E105" s="992" t="s">
        <v>553</v>
      </c>
      <c r="F105" s="993" t="s">
        <v>554</v>
      </c>
      <c r="G105" s="994" t="s">
        <v>720</v>
      </c>
      <c r="H105" s="995">
        <v>16</v>
      </c>
      <c r="I105" s="995">
        <v>16</v>
      </c>
      <c r="J105" s="995">
        <v>16</v>
      </c>
      <c r="K105" s="996">
        <v>16</v>
      </c>
      <c r="L105" s="1028"/>
      <c r="M105" s="1029"/>
    </row>
    <row r="106" spans="2:15">
      <c r="B106" s="981" t="s">
        <v>721</v>
      </c>
      <c r="C106" s="988" t="s">
        <v>722</v>
      </c>
      <c r="D106" s="978" t="s">
        <v>560</v>
      </c>
      <c r="E106" s="979" t="s">
        <v>557</v>
      </c>
      <c r="F106" s="980" t="s">
        <v>564</v>
      </c>
      <c r="G106" s="981" t="s">
        <v>672</v>
      </c>
      <c r="H106" s="982">
        <v>9.9</v>
      </c>
      <c r="I106" s="982">
        <v>9.9</v>
      </c>
      <c r="J106" s="982">
        <v>9.9</v>
      </c>
      <c r="K106" s="982">
        <v>9.9</v>
      </c>
      <c r="L106" s="1004"/>
      <c r="M106" s="985"/>
      <c r="N106" s="844" t="s">
        <v>723</v>
      </c>
      <c r="O106" s="844">
        <v>9.9</v>
      </c>
    </row>
    <row r="107" spans="2:15">
      <c r="B107" s="981" t="s">
        <v>724</v>
      </c>
      <c r="C107" s="988" t="s">
        <v>725</v>
      </c>
      <c r="D107" s="978" t="s">
        <v>560</v>
      </c>
      <c r="E107" s="979" t="s">
        <v>557</v>
      </c>
      <c r="F107" s="980" t="s">
        <v>564</v>
      </c>
      <c r="G107" s="981" t="s">
        <v>726</v>
      </c>
      <c r="H107" s="983">
        <v>9.9700000000000006</v>
      </c>
      <c r="I107" s="983">
        <v>9.9700000000000006</v>
      </c>
      <c r="J107" s="983">
        <v>9.9700000000000006</v>
      </c>
      <c r="K107" s="983">
        <v>9.9700000000000006</v>
      </c>
      <c r="L107" s="1004"/>
      <c r="M107" s="985"/>
      <c r="N107" s="844" t="s">
        <v>727</v>
      </c>
      <c r="O107" s="844">
        <v>9.9700000000000006</v>
      </c>
    </row>
    <row r="108" spans="2:15">
      <c r="B108" s="981" t="s">
        <v>728</v>
      </c>
      <c r="C108" s="988" t="s">
        <v>725</v>
      </c>
      <c r="D108" s="978" t="s">
        <v>560</v>
      </c>
      <c r="E108" s="979" t="s">
        <v>557</v>
      </c>
      <c r="F108" s="980" t="s">
        <v>564</v>
      </c>
      <c r="G108" s="981" t="s">
        <v>726</v>
      </c>
      <c r="H108" s="983">
        <v>9.9700000000000006</v>
      </c>
      <c r="I108" s="983">
        <v>9.9700000000000006</v>
      </c>
      <c r="J108" s="983">
        <v>9.9700000000000006</v>
      </c>
      <c r="K108" s="983">
        <v>9.9700000000000006</v>
      </c>
      <c r="L108" s="1004"/>
      <c r="M108" s="985"/>
      <c r="N108" s="844" t="s">
        <v>729</v>
      </c>
      <c r="O108" s="844">
        <v>9.9700000000000006</v>
      </c>
    </row>
    <row r="109" spans="2:15">
      <c r="B109" s="981" t="s">
        <v>730</v>
      </c>
      <c r="C109" s="988" t="s">
        <v>483</v>
      </c>
      <c r="D109" s="978" t="s">
        <v>560</v>
      </c>
      <c r="E109" s="979" t="s">
        <v>557</v>
      </c>
      <c r="F109" s="980" t="s">
        <v>564</v>
      </c>
      <c r="G109" s="981" t="s">
        <v>672</v>
      </c>
      <c r="H109" s="983">
        <v>9.8800000000000008</v>
      </c>
      <c r="I109" s="983">
        <v>9.8800000000000008</v>
      </c>
      <c r="J109" s="983">
        <v>9.8800000000000008</v>
      </c>
      <c r="K109" s="983">
        <v>9.8800000000000008</v>
      </c>
      <c r="L109" s="1004"/>
      <c r="M109" s="985"/>
      <c r="N109" s="844" t="s">
        <v>731</v>
      </c>
      <c r="O109" s="844">
        <v>9.8800000000000008</v>
      </c>
    </row>
    <row r="110" spans="2:15">
      <c r="B110" s="981" t="s">
        <v>732</v>
      </c>
      <c r="C110" s="988" t="s">
        <v>733</v>
      </c>
      <c r="D110" s="978" t="s">
        <v>552</v>
      </c>
      <c r="E110" s="979" t="s">
        <v>557</v>
      </c>
      <c r="F110" s="980" t="s">
        <v>564</v>
      </c>
      <c r="G110" s="981"/>
      <c r="H110" s="982"/>
      <c r="I110" s="982"/>
      <c r="J110" s="982"/>
      <c r="K110" s="983">
        <v>8.0399999999999991</v>
      </c>
      <c r="L110" s="984">
        <v>45658</v>
      </c>
      <c r="M110" s="986" t="s">
        <v>561</v>
      </c>
    </row>
    <row r="111" spans="2:15">
      <c r="B111" s="981" t="s">
        <v>734</v>
      </c>
      <c r="C111" s="988" t="s">
        <v>488</v>
      </c>
      <c r="D111" s="978" t="s">
        <v>560</v>
      </c>
      <c r="E111" s="979" t="s">
        <v>553</v>
      </c>
      <c r="F111" s="980" t="s">
        <v>554</v>
      </c>
      <c r="G111" s="981"/>
      <c r="H111" s="982"/>
      <c r="I111" s="982">
        <v>7.56</v>
      </c>
      <c r="J111" s="982">
        <v>7.56</v>
      </c>
      <c r="K111" s="983">
        <v>7.56</v>
      </c>
      <c r="L111" s="984">
        <v>44927</v>
      </c>
      <c r="M111" s="986" t="s">
        <v>561</v>
      </c>
    </row>
    <row r="112" spans="2:15">
      <c r="B112" s="981" t="s">
        <v>735</v>
      </c>
      <c r="C112" s="988" t="s">
        <v>736</v>
      </c>
      <c r="D112" s="978" t="s">
        <v>560</v>
      </c>
      <c r="E112" s="979"/>
      <c r="F112" s="980"/>
      <c r="G112" s="999"/>
      <c r="H112" s="982"/>
      <c r="I112" s="983">
        <v>9.9</v>
      </c>
      <c r="J112" s="983">
        <v>9.9</v>
      </c>
      <c r="K112" s="983">
        <v>9.9</v>
      </c>
      <c r="L112" s="984">
        <v>44986</v>
      </c>
      <c r="M112" s="986" t="s">
        <v>561</v>
      </c>
    </row>
    <row r="113" spans="2:15">
      <c r="B113" s="981" t="s">
        <v>737</v>
      </c>
      <c r="C113" s="988" t="s">
        <v>738</v>
      </c>
      <c r="D113" s="978" t="s">
        <v>560</v>
      </c>
      <c r="E113" s="979"/>
      <c r="F113" s="980"/>
      <c r="G113" s="999"/>
      <c r="H113" s="982"/>
      <c r="I113" s="982">
        <v>9.9499999999999993</v>
      </c>
      <c r="J113" s="982">
        <v>9.9499999999999993</v>
      </c>
      <c r="K113" s="983">
        <v>9.9499999999999993</v>
      </c>
      <c r="L113" s="984">
        <v>45078</v>
      </c>
      <c r="M113" s="986" t="s">
        <v>561</v>
      </c>
    </row>
    <row r="114" spans="2:15">
      <c r="B114" s="981" t="s">
        <v>739</v>
      </c>
      <c r="C114" s="988" t="s">
        <v>491</v>
      </c>
      <c r="D114" s="978" t="s">
        <v>560</v>
      </c>
      <c r="E114" s="979" t="s">
        <v>557</v>
      </c>
      <c r="F114" s="980" t="s">
        <v>564</v>
      </c>
      <c r="G114" s="999"/>
      <c r="H114" s="982"/>
      <c r="I114" s="982"/>
      <c r="J114" s="983">
        <v>5.0999999999999996</v>
      </c>
      <c r="K114" s="983">
        <v>5.0999999999999996</v>
      </c>
      <c r="L114" s="984">
        <v>45170</v>
      </c>
      <c r="M114" s="986" t="s">
        <v>561</v>
      </c>
    </row>
    <row r="115" spans="2:15">
      <c r="B115" s="981" t="s">
        <v>740</v>
      </c>
      <c r="C115" s="988" t="s">
        <v>494</v>
      </c>
      <c r="D115" s="978" t="s">
        <v>560</v>
      </c>
      <c r="E115" s="979"/>
      <c r="F115" s="980"/>
      <c r="G115" s="999"/>
      <c r="H115" s="982"/>
      <c r="I115" s="982"/>
      <c r="J115" s="982">
        <v>9.99</v>
      </c>
      <c r="K115" s="983">
        <v>9.99</v>
      </c>
      <c r="L115" s="984">
        <v>45292</v>
      </c>
      <c r="M115" s="986" t="s">
        <v>561</v>
      </c>
    </row>
    <row r="116" spans="2:15">
      <c r="B116" s="981" t="s">
        <v>741</v>
      </c>
      <c r="C116" s="988" t="s">
        <v>742</v>
      </c>
      <c r="D116" s="978" t="s">
        <v>560</v>
      </c>
      <c r="E116" s="979"/>
      <c r="F116" s="980"/>
      <c r="G116" s="999"/>
      <c r="H116" s="982"/>
      <c r="I116" s="982"/>
      <c r="J116" s="982">
        <v>9.9</v>
      </c>
      <c r="K116" s="983">
        <v>9.9</v>
      </c>
      <c r="L116" s="984">
        <v>45292</v>
      </c>
      <c r="M116" s="986" t="s">
        <v>561</v>
      </c>
    </row>
    <row r="117" spans="2:15">
      <c r="B117" s="981" t="s">
        <v>743</v>
      </c>
      <c r="C117" s="988" t="s">
        <v>744</v>
      </c>
      <c r="D117" s="978" t="s">
        <v>560</v>
      </c>
      <c r="E117" s="979"/>
      <c r="F117" s="980"/>
      <c r="G117" s="999"/>
      <c r="H117" s="982"/>
      <c r="I117" s="982"/>
      <c r="J117" s="982">
        <v>9.9</v>
      </c>
      <c r="K117" s="983">
        <v>9.9</v>
      </c>
      <c r="L117" s="984">
        <v>45292</v>
      </c>
      <c r="M117" s="986" t="s">
        <v>561</v>
      </c>
    </row>
    <row r="118" spans="2:15">
      <c r="B118" s="981" t="s">
        <v>745</v>
      </c>
      <c r="C118" s="988" t="s">
        <v>746</v>
      </c>
      <c r="D118" s="978" t="s">
        <v>560</v>
      </c>
      <c r="E118" s="979"/>
      <c r="F118" s="980"/>
      <c r="G118" s="999"/>
      <c r="H118" s="982"/>
      <c r="I118" s="982"/>
      <c r="J118" s="982">
        <v>10</v>
      </c>
      <c r="K118" s="983">
        <v>10</v>
      </c>
      <c r="L118" s="984">
        <v>45323</v>
      </c>
      <c r="M118" s="986" t="s">
        <v>561</v>
      </c>
    </row>
    <row r="119" spans="2:15">
      <c r="B119" s="1031" t="s">
        <v>747</v>
      </c>
      <c r="C119" s="988" t="s">
        <v>748</v>
      </c>
      <c r="D119" s="978" t="s">
        <v>560</v>
      </c>
      <c r="E119" s="979"/>
      <c r="F119" s="980"/>
      <c r="G119" s="999"/>
      <c r="H119" s="982"/>
      <c r="I119" s="982"/>
      <c r="J119" s="982"/>
      <c r="K119" s="983"/>
      <c r="L119" s="984">
        <v>45931</v>
      </c>
      <c r="M119" s="986" t="s">
        <v>561</v>
      </c>
      <c r="N119" s="844" t="s">
        <v>655</v>
      </c>
    </row>
    <row r="120" spans="2:15">
      <c r="B120" s="1032" t="s">
        <v>749</v>
      </c>
      <c r="C120" s="1033" t="s">
        <v>499</v>
      </c>
      <c r="D120" s="1034" t="s">
        <v>560</v>
      </c>
      <c r="E120" s="1035"/>
      <c r="F120" s="1036"/>
      <c r="G120" s="1037"/>
      <c r="H120" s="1038"/>
      <c r="I120" s="1038"/>
      <c r="J120" s="1038"/>
      <c r="K120" s="1039"/>
      <c r="L120" s="1040">
        <v>45839</v>
      </c>
      <c r="M120" s="1041" t="s">
        <v>561</v>
      </c>
      <c r="N120" s="844" t="s">
        <v>655</v>
      </c>
    </row>
    <row r="121" spans="2:15">
      <c r="B121" s="976" t="s">
        <v>750</v>
      </c>
      <c r="C121" s="977" t="s">
        <v>751</v>
      </c>
      <c r="D121" s="978" t="s">
        <v>560</v>
      </c>
      <c r="E121" s="979" t="s">
        <v>557</v>
      </c>
      <c r="F121" s="980" t="s">
        <v>564</v>
      </c>
      <c r="G121" s="1001" t="s">
        <v>672</v>
      </c>
      <c r="H121" s="1018">
        <v>0.48</v>
      </c>
      <c r="I121" s="1018">
        <v>0.48</v>
      </c>
      <c r="J121" s="1018">
        <v>0.48</v>
      </c>
      <c r="K121" s="1019">
        <v>0.48</v>
      </c>
      <c r="L121" s="1004"/>
      <c r="M121" s="985"/>
    </row>
    <row r="122" spans="2:15">
      <c r="B122" s="981" t="s">
        <v>752</v>
      </c>
      <c r="C122" s="1042" t="s">
        <v>563</v>
      </c>
      <c r="D122" s="1043" t="s">
        <v>560</v>
      </c>
      <c r="E122" s="979" t="s">
        <v>557</v>
      </c>
      <c r="F122" s="980" t="s">
        <v>554</v>
      </c>
      <c r="G122" s="981" t="s">
        <v>720</v>
      </c>
      <c r="H122" s="1044">
        <v>5.66</v>
      </c>
      <c r="I122" s="1044">
        <v>5.66</v>
      </c>
      <c r="J122" s="1044">
        <v>5.66</v>
      </c>
      <c r="K122" s="1044">
        <v>5.66</v>
      </c>
      <c r="L122" s="1004"/>
      <c r="M122" s="985"/>
      <c r="N122" s="844" t="s">
        <v>569</v>
      </c>
      <c r="O122" s="844">
        <v>5.66</v>
      </c>
    </row>
    <row r="123" spans="2:15">
      <c r="B123" s="976" t="s">
        <v>753</v>
      </c>
      <c r="C123" s="977" t="s">
        <v>754</v>
      </c>
      <c r="D123" s="978" t="s">
        <v>560</v>
      </c>
      <c r="E123" s="979" t="s">
        <v>553</v>
      </c>
      <c r="F123" s="980" t="s">
        <v>554</v>
      </c>
      <c r="G123" s="1001"/>
      <c r="H123" s="1018">
        <v>5</v>
      </c>
      <c r="I123" s="1018">
        <v>5</v>
      </c>
      <c r="J123" s="1018">
        <v>5</v>
      </c>
      <c r="K123" s="1019">
        <v>5</v>
      </c>
      <c r="L123" s="1004"/>
      <c r="M123" s="985"/>
    </row>
    <row r="124" spans="2:15">
      <c r="B124" s="976" t="s">
        <v>755</v>
      </c>
      <c r="C124" s="977" t="s">
        <v>484</v>
      </c>
      <c r="D124" s="978" t="s">
        <v>560</v>
      </c>
      <c r="E124" s="979" t="s">
        <v>557</v>
      </c>
      <c r="F124" s="980" t="s">
        <v>564</v>
      </c>
      <c r="G124" s="1001" t="s">
        <v>672</v>
      </c>
      <c r="H124" s="1018">
        <v>3.24</v>
      </c>
      <c r="I124" s="1018">
        <v>3.24</v>
      </c>
      <c r="J124" s="1018">
        <v>3.24</v>
      </c>
      <c r="K124" s="1019">
        <v>3.24</v>
      </c>
      <c r="L124" s="1004"/>
      <c r="M124" s="985"/>
    </row>
    <row r="125" spans="2:15">
      <c r="B125" s="976" t="s">
        <v>756</v>
      </c>
      <c r="C125" s="977" t="s">
        <v>757</v>
      </c>
      <c r="D125" s="978" t="s">
        <v>560</v>
      </c>
      <c r="E125" s="979" t="s">
        <v>557</v>
      </c>
      <c r="F125" s="980" t="s">
        <v>564</v>
      </c>
      <c r="G125" s="1001" t="s">
        <v>758</v>
      </c>
      <c r="H125" s="1018">
        <v>2.4</v>
      </c>
      <c r="I125" s="1018">
        <v>2.4</v>
      </c>
      <c r="J125" s="1018">
        <v>2.4</v>
      </c>
      <c r="K125" s="1019">
        <v>2.4</v>
      </c>
      <c r="L125" s="984"/>
      <c r="M125" s="985"/>
    </row>
    <row r="126" spans="2:15">
      <c r="B126" s="976" t="s">
        <v>759</v>
      </c>
      <c r="C126" s="977" t="s">
        <v>492</v>
      </c>
      <c r="D126" s="978" t="s">
        <v>560</v>
      </c>
      <c r="E126" s="979"/>
      <c r="F126" s="980"/>
      <c r="G126" s="999"/>
      <c r="H126" s="982"/>
      <c r="I126" s="982"/>
      <c r="J126" s="982"/>
      <c r="K126" s="1019">
        <v>5</v>
      </c>
      <c r="L126" s="984">
        <v>45627</v>
      </c>
      <c r="M126" s="986" t="s">
        <v>561</v>
      </c>
    </row>
    <row r="127" spans="2:15">
      <c r="B127" s="976" t="s">
        <v>760</v>
      </c>
      <c r="C127" s="977" t="s">
        <v>493</v>
      </c>
      <c r="D127" s="978" t="s">
        <v>560</v>
      </c>
      <c r="E127" s="979"/>
      <c r="F127" s="980"/>
      <c r="G127" s="999"/>
      <c r="H127" s="982"/>
      <c r="I127" s="982"/>
      <c r="J127" s="982"/>
      <c r="K127" s="1019">
        <v>5</v>
      </c>
      <c r="L127" s="984">
        <v>45627</v>
      </c>
      <c r="M127" s="986" t="s">
        <v>561</v>
      </c>
    </row>
    <row r="128" spans="2:15" ht="10.95" customHeight="1" thickBot="1">
      <c r="B128" s="976"/>
      <c r="C128" s="977"/>
      <c r="D128" s="978"/>
      <c r="E128" s="979"/>
      <c r="F128" s="980"/>
      <c r="G128" s="981"/>
      <c r="H128" s="1006"/>
      <c r="I128" s="1006"/>
      <c r="J128" s="1006"/>
      <c r="K128" s="1004"/>
      <c r="L128" s="984"/>
      <c r="M128" s="985"/>
    </row>
    <row r="129" spans="2:15" ht="18.600000000000001" customHeight="1">
      <c r="B129" s="973">
        <v>6</v>
      </c>
      <c r="C129" s="1013"/>
      <c r="D129" s="1014"/>
      <c r="E129" s="973"/>
      <c r="F129" s="973"/>
      <c r="G129" s="973"/>
      <c r="H129" s="973">
        <f>SUM(H130:H134)</f>
        <v>155.26000000000002</v>
      </c>
      <c r="I129" s="973">
        <f t="shared" ref="I129:K129" si="5">SUM(I130:I134)</f>
        <v>155.26000000000002</v>
      </c>
      <c r="J129" s="973">
        <f t="shared" si="5"/>
        <v>155.76000000000002</v>
      </c>
      <c r="K129" s="973">
        <f t="shared" si="5"/>
        <v>155.76000000000002</v>
      </c>
      <c r="L129" s="974"/>
      <c r="M129" s="975"/>
    </row>
    <row r="130" spans="2:15" ht="22.2" customHeight="1">
      <c r="B130" s="976" t="s">
        <v>187</v>
      </c>
      <c r="C130" s="977" t="s">
        <v>761</v>
      </c>
      <c r="D130" s="978" t="s">
        <v>685</v>
      </c>
      <c r="E130" s="979" t="s">
        <v>553</v>
      </c>
      <c r="F130" s="980" t="s">
        <v>554</v>
      </c>
      <c r="G130" s="981" t="s">
        <v>762</v>
      </c>
      <c r="H130" s="982">
        <v>147</v>
      </c>
      <c r="I130" s="982">
        <v>147</v>
      </c>
      <c r="J130" s="982">
        <v>147</v>
      </c>
      <c r="K130" s="982">
        <v>147</v>
      </c>
      <c r="L130" s="1004"/>
      <c r="M130" s="985"/>
      <c r="N130" s="844" t="s">
        <v>763</v>
      </c>
      <c r="O130" s="844">
        <v>156</v>
      </c>
    </row>
    <row r="131" spans="2:15" ht="22.2" customHeight="1">
      <c r="B131" s="1017" t="s">
        <v>764</v>
      </c>
      <c r="C131" s="1042" t="s">
        <v>765</v>
      </c>
      <c r="D131" s="1043" t="s">
        <v>552</v>
      </c>
      <c r="E131" s="1045" t="s">
        <v>557</v>
      </c>
      <c r="F131" s="1046" t="s">
        <v>564</v>
      </c>
      <c r="G131" s="981"/>
      <c r="H131" s="1044">
        <v>4.3</v>
      </c>
      <c r="I131" s="1044">
        <v>4.3</v>
      </c>
      <c r="J131" s="1044">
        <v>4.3</v>
      </c>
      <c r="K131" s="1047">
        <v>4.3</v>
      </c>
      <c r="L131" s="1004"/>
      <c r="M131" s="985"/>
    </row>
    <row r="132" spans="2:15" ht="22.2" customHeight="1">
      <c r="B132" s="976" t="s">
        <v>766</v>
      </c>
      <c r="C132" s="977" t="s">
        <v>767</v>
      </c>
      <c r="D132" s="978" t="s">
        <v>560</v>
      </c>
      <c r="E132" s="979" t="s">
        <v>557</v>
      </c>
      <c r="F132" s="980" t="s">
        <v>564</v>
      </c>
      <c r="G132" s="981" t="s">
        <v>768</v>
      </c>
      <c r="H132" s="1018">
        <v>0.96</v>
      </c>
      <c r="I132" s="1018">
        <v>0.96</v>
      </c>
      <c r="J132" s="1018">
        <v>0.96</v>
      </c>
      <c r="K132" s="1019">
        <v>0.96</v>
      </c>
      <c r="L132" s="1004"/>
      <c r="M132" s="985"/>
    </row>
    <row r="133" spans="2:15" ht="22.2" customHeight="1">
      <c r="B133" s="976" t="s">
        <v>769</v>
      </c>
      <c r="C133" s="977" t="s">
        <v>770</v>
      </c>
      <c r="D133" s="978" t="s">
        <v>560</v>
      </c>
      <c r="E133" s="979" t="s">
        <v>557</v>
      </c>
      <c r="F133" s="980" t="s">
        <v>564</v>
      </c>
      <c r="G133" s="981" t="s">
        <v>762</v>
      </c>
      <c r="H133" s="1018">
        <v>3</v>
      </c>
      <c r="I133" s="1018">
        <v>3</v>
      </c>
      <c r="J133" s="1018">
        <v>3</v>
      </c>
      <c r="K133" s="1019">
        <v>3</v>
      </c>
      <c r="L133" s="1004"/>
      <c r="M133" s="985"/>
    </row>
    <row r="134" spans="2:15" ht="22.2" customHeight="1">
      <c r="B134" s="976" t="s">
        <v>771</v>
      </c>
      <c r="C134" s="977" t="s">
        <v>772</v>
      </c>
      <c r="D134" s="978" t="s">
        <v>560</v>
      </c>
      <c r="E134" s="979" t="s">
        <v>557</v>
      </c>
      <c r="F134" s="980" t="s">
        <v>564</v>
      </c>
      <c r="G134" s="981"/>
      <c r="H134" s="982"/>
      <c r="I134" s="982"/>
      <c r="J134" s="1018">
        <v>0.5</v>
      </c>
      <c r="K134" s="1019">
        <v>0.5</v>
      </c>
      <c r="L134" s="984">
        <v>45261</v>
      </c>
      <c r="M134" s="986" t="s">
        <v>561</v>
      </c>
    </row>
    <row r="135" spans="2:15" ht="20.399999999999999" customHeight="1" thickBot="1">
      <c r="G135" s="981"/>
    </row>
    <row r="136" spans="2:15" ht="18.600000000000001" customHeight="1">
      <c r="B136" s="973">
        <v>7</v>
      </c>
      <c r="C136" s="1013"/>
      <c r="D136" s="1014"/>
      <c r="E136" s="973"/>
      <c r="F136" s="973"/>
      <c r="G136" s="973"/>
      <c r="H136" s="973">
        <f>SUM(H137:H141)</f>
        <v>162.43</v>
      </c>
      <c r="I136" s="973">
        <f t="shared" ref="I136:K136" si="6">SUM(I137:I141)</f>
        <v>162.43</v>
      </c>
      <c r="J136" s="973">
        <f t="shared" si="6"/>
        <v>162.43</v>
      </c>
      <c r="K136" s="973">
        <f t="shared" si="6"/>
        <v>162.43</v>
      </c>
      <c r="L136" s="974"/>
      <c r="M136" s="975"/>
    </row>
    <row r="137" spans="2:15">
      <c r="B137" s="976" t="s">
        <v>773</v>
      </c>
      <c r="C137" s="977" t="s">
        <v>774</v>
      </c>
      <c r="D137" s="978" t="s">
        <v>552</v>
      </c>
      <c r="E137" s="979" t="s">
        <v>553</v>
      </c>
      <c r="F137" s="980" t="s">
        <v>554</v>
      </c>
      <c r="G137" s="981" t="s">
        <v>775</v>
      </c>
      <c r="H137" s="982">
        <v>97.7</v>
      </c>
      <c r="I137" s="982">
        <v>97.7</v>
      </c>
      <c r="J137" s="982">
        <v>97.7</v>
      </c>
      <c r="K137" s="983">
        <v>97.7</v>
      </c>
      <c r="L137" s="1004"/>
      <c r="M137" s="985"/>
      <c r="N137" s="844" t="s">
        <v>776</v>
      </c>
      <c r="O137" s="844">
        <v>81.61</v>
      </c>
    </row>
    <row r="138" spans="2:15">
      <c r="B138" s="976" t="s">
        <v>37</v>
      </c>
      <c r="C138" s="977" t="s">
        <v>777</v>
      </c>
      <c r="D138" s="978" t="s">
        <v>685</v>
      </c>
      <c r="E138" s="979" t="s">
        <v>553</v>
      </c>
      <c r="F138" s="980" t="s">
        <v>554</v>
      </c>
      <c r="G138" s="981" t="s">
        <v>778</v>
      </c>
      <c r="H138" s="982">
        <v>53.53</v>
      </c>
      <c r="I138" s="982">
        <v>53.53</v>
      </c>
      <c r="J138" s="982">
        <v>53.53</v>
      </c>
      <c r="K138" s="982">
        <v>53.53</v>
      </c>
      <c r="L138" s="1004"/>
      <c r="M138" s="985"/>
      <c r="O138" s="844" t="s">
        <v>779</v>
      </c>
    </row>
    <row r="139" spans="2:15">
      <c r="B139" s="976" t="s">
        <v>780</v>
      </c>
      <c r="C139" s="977" t="s">
        <v>781</v>
      </c>
      <c r="D139" s="978" t="s">
        <v>685</v>
      </c>
      <c r="E139" s="979" t="s">
        <v>557</v>
      </c>
      <c r="F139" s="980" t="s">
        <v>564</v>
      </c>
      <c r="G139" s="981" t="s">
        <v>782</v>
      </c>
      <c r="H139" s="982">
        <v>8.1</v>
      </c>
      <c r="I139" s="982">
        <v>8.1</v>
      </c>
      <c r="J139" s="982">
        <v>8.1</v>
      </c>
      <c r="K139" s="983">
        <v>8.1</v>
      </c>
      <c r="L139" s="1004"/>
      <c r="M139" s="985"/>
    </row>
    <row r="140" spans="2:15" ht="20.399999999999999" customHeight="1">
      <c r="B140" s="981" t="s">
        <v>783</v>
      </c>
      <c r="C140" s="977" t="s">
        <v>784</v>
      </c>
      <c r="D140" s="978" t="s">
        <v>560</v>
      </c>
      <c r="E140" s="979" t="s">
        <v>557</v>
      </c>
      <c r="F140" s="980" t="s">
        <v>564</v>
      </c>
      <c r="G140" s="981" t="s">
        <v>775</v>
      </c>
      <c r="H140" s="1018">
        <v>0.1</v>
      </c>
      <c r="I140" s="1018">
        <v>0.1</v>
      </c>
      <c r="J140" s="1018">
        <v>0.1</v>
      </c>
      <c r="K140" s="1019">
        <v>0.1</v>
      </c>
      <c r="L140" s="1004"/>
      <c r="M140" s="985"/>
    </row>
    <row r="141" spans="2:15" ht="20.399999999999999" customHeight="1">
      <c r="B141" s="981" t="s">
        <v>785</v>
      </c>
      <c r="C141" s="977" t="s">
        <v>786</v>
      </c>
      <c r="D141" s="978" t="s">
        <v>560</v>
      </c>
      <c r="E141" s="979" t="s">
        <v>557</v>
      </c>
      <c r="F141" s="980" t="s">
        <v>169</v>
      </c>
      <c r="G141" s="981" t="s">
        <v>787</v>
      </c>
      <c r="H141" s="1018">
        <v>3</v>
      </c>
      <c r="I141" s="1018">
        <v>3</v>
      </c>
      <c r="J141" s="1018">
        <v>3</v>
      </c>
      <c r="K141" s="1019">
        <v>3</v>
      </c>
      <c r="L141" s="1004"/>
      <c r="M141" s="986"/>
    </row>
    <row r="142" spans="2:15" ht="18" customHeight="1" thickBot="1">
      <c r="B142" s="981"/>
      <c r="F142" s="980"/>
      <c r="G142" s="981"/>
      <c r="H142" s="1004"/>
      <c r="I142" s="1004"/>
      <c r="J142" s="1004"/>
      <c r="K142" s="1004"/>
      <c r="L142" s="1004"/>
      <c r="M142" s="986"/>
    </row>
    <row r="143" spans="2:15" ht="18" customHeight="1">
      <c r="B143" s="973">
        <v>8</v>
      </c>
      <c r="C143" s="1013"/>
      <c r="D143" s="1014"/>
      <c r="E143" s="973"/>
      <c r="F143" s="973"/>
      <c r="G143" s="973"/>
      <c r="H143" s="1010">
        <f>SUM(H144)</f>
        <v>260</v>
      </c>
      <c r="I143" s="1010">
        <f t="shared" ref="I143:K143" si="7">SUM(I144)</f>
        <v>260</v>
      </c>
      <c r="J143" s="1010">
        <f t="shared" si="7"/>
        <v>260</v>
      </c>
      <c r="K143" s="1010">
        <f t="shared" si="7"/>
        <v>260</v>
      </c>
      <c r="L143" s="974"/>
      <c r="M143" s="975"/>
    </row>
    <row r="144" spans="2:15" ht="16.95" customHeight="1">
      <c r="B144" s="976" t="s">
        <v>4</v>
      </c>
      <c r="C144" s="977" t="s">
        <v>589</v>
      </c>
      <c r="D144" s="978" t="s">
        <v>552</v>
      </c>
      <c r="E144" s="979" t="s">
        <v>553</v>
      </c>
      <c r="F144" s="980" t="s">
        <v>554</v>
      </c>
      <c r="G144" s="981" t="s">
        <v>787</v>
      </c>
      <c r="H144" s="982">
        <v>260</v>
      </c>
      <c r="I144" s="982">
        <v>260</v>
      </c>
      <c r="J144" s="982">
        <v>260</v>
      </c>
      <c r="K144" s="983">
        <v>260</v>
      </c>
      <c r="L144" s="1004"/>
      <c r="M144" s="985"/>
    </row>
    <row r="145" spans="1:15" ht="5.4" customHeight="1" thickBot="1">
      <c r="B145" s="979"/>
      <c r="C145" s="1049"/>
      <c r="D145" s="979"/>
      <c r="E145" s="979"/>
      <c r="F145" s="979"/>
      <c r="G145" s="981"/>
      <c r="H145" s="1050"/>
      <c r="I145" s="1050"/>
      <c r="J145" s="1050"/>
      <c r="K145" s="1051"/>
      <c r="L145" s="1051"/>
      <c r="M145" s="1052"/>
    </row>
    <row r="146" spans="1:15" ht="22.2" customHeight="1">
      <c r="B146" s="973">
        <v>9</v>
      </c>
      <c r="C146" s="1013"/>
      <c r="D146" s="1014"/>
      <c r="E146" s="973"/>
      <c r="F146" s="973"/>
      <c r="G146" s="973"/>
      <c r="H146" s="973">
        <f>SUM(H147:H153)</f>
        <v>740.25</v>
      </c>
      <c r="I146" s="973">
        <f t="shared" ref="I146:K146" si="8">SUM(I147:I153)</f>
        <v>740.25</v>
      </c>
      <c r="J146" s="973">
        <f t="shared" si="8"/>
        <v>740.25</v>
      </c>
      <c r="K146" s="973">
        <f t="shared" si="8"/>
        <v>1410.25</v>
      </c>
      <c r="L146" s="974"/>
      <c r="M146" s="975"/>
    </row>
    <row r="147" spans="1:15">
      <c r="B147" s="976" t="s">
        <v>507</v>
      </c>
      <c r="C147" s="977" t="s">
        <v>788</v>
      </c>
      <c r="D147" s="978" t="s">
        <v>685</v>
      </c>
      <c r="E147" s="979" t="s">
        <v>553</v>
      </c>
      <c r="F147" s="980" t="s">
        <v>554</v>
      </c>
      <c r="G147" s="981" t="s">
        <v>789</v>
      </c>
      <c r="H147" s="982">
        <v>68</v>
      </c>
      <c r="I147" s="982">
        <v>68</v>
      </c>
      <c r="J147" s="982">
        <v>68</v>
      </c>
      <c r="K147" s="983">
        <v>68</v>
      </c>
      <c r="L147" s="1004"/>
      <c r="M147" s="986" t="s">
        <v>790</v>
      </c>
    </row>
    <row r="148" spans="1:15">
      <c r="B148" s="976" t="s">
        <v>199</v>
      </c>
      <c r="C148" s="977" t="s">
        <v>791</v>
      </c>
      <c r="D148" s="978" t="s">
        <v>685</v>
      </c>
      <c r="E148" s="979" t="s">
        <v>557</v>
      </c>
      <c r="F148" s="980" t="s">
        <v>554</v>
      </c>
      <c r="G148" s="981" t="s">
        <v>792</v>
      </c>
      <c r="H148" s="982">
        <v>87</v>
      </c>
      <c r="I148" s="982">
        <v>87</v>
      </c>
      <c r="J148" s="982">
        <v>87</v>
      </c>
      <c r="K148" s="983">
        <v>87</v>
      </c>
      <c r="L148" s="1004"/>
      <c r="M148" s="985"/>
      <c r="N148" s="844" t="s">
        <v>793</v>
      </c>
      <c r="O148" s="844">
        <v>87</v>
      </c>
    </row>
    <row r="149" spans="1:15">
      <c r="B149" s="976" t="s">
        <v>200</v>
      </c>
      <c r="C149" s="977" t="s">
        <v>794</v>
      </c>
      <c r="D149" s="978" t="s">
        <v>685</v>
      </c>
      <c r="E149" s="979" t="s">
        <v>557</v>
      </c>
      <c r="F149" s="980" t="s">
        <v>554</v>
      </c>
      <c r="G149" s="999" t="s">
        <v>795</v>
      </c>
      <c r="H149" s="982">
        <v>150</v>
      </c>
      <c r="I149" s="982">
        <v>150</v>
      </c>
      <c r="J149" s="982">
        <v>150</v>
      </c>
      <c r="K149" s="983">
        <v>150</v>
      </c>
      <c r="L149" s="1004"/>
      <c r="M149" s="985"/>
    </row>
    <row r="150" spans="1:15">
      <c r="B150" s="976" t="s">
        <v>508</v>
      </c>
      <c r="C150" s="977" t="s">
        <v>796</v>
      </c>
      <c r="D150" s="978" t="s">
        <v>685</v>
      </c>
      <c r="E150" s="979" t="s">
        <v>557</v>
      </c>
      <c r="F150" s="980" t="s">
        <v>169</v>
      </c>
      <c r="G150" s="999" t="s">
        <v>797</v>
      </c>
      <c r="H150" s="982">
        <v>381</v>
      </c>
      <c r="I150" s="982">
        <v>381</v>
      </c>
      <c r="J150" s="982">
        <v>381</v>
      </c>
      <c r="K150" s="983">
        <v>381</v>
      </c>
      <c r="L150" s="1004"/>
      <c r="M150" s="985"/>
    </row>
    <row r="151" spans="1:15">
      <c r="B151" s="976" t="s">
        <v>509</v>
      </c>
      <c r="C151" s="977" t="s">
        <v>798</v>
      </c>
      <c r="D151" s="978" t="s">
        <v>685</v>
      </c>
      <c r="E151" s="979" t="s">
        <v>557</v>
      </c>
      <c r="F151" s="980" t="s">
        <v>169</v>
      </c>
      <c r="G151" s="999" t="s">
        <v>799</v>
      </c>
      <c r="H151" s="982">
        <v>5.05</v>
      </c>
      <c r="I151" s="982">
        <v>5.05</v>
      </c>
      <c r="J151" s="982">
        <v>5.05</v>
      </c>
      <c r="K151" s="983">
        <v>5.05</v>
      </c>
      <c r="L151" s="1004"/>
      <c r="M151" s="985"/>
    </row>
    <row r="152" spans="1:15">
      <c r="B152" s="976" t="s">
        <v>800</v>
      </c>
      <c r="C152" s="977" t="s">
        <v>801</v>
      </c>
      <c r="D152" s="978" t="s">
        <v>685</v>
      </c>
      <c r="E152" s="979" t="s">
        <v>557</v>
      </c>
      <c r="F152" s="980" t="s">
        <v>169</v>
      </c>
      <c r="G152" s="999" t="s">
        <v>802</v>
      </c>
      <c r="H152" s="982">
        <v>49.2</v>
      </c>
      <c r="I152" s="982">
        <v>49.2</v>
      </c>
      <c r="J152" s="982">
        <v>49.2</v>
      </c>
      <c r="K152" s="983">
        <v>49.2</v>
      </c>
      <c r="L152" s="1004"/>
      <c r="M152" s="985"/>
    </row>
    <row r="153" spans="1:15">
      <c r="B153" s="976" t="s">
        <v>803</v>
      </c>
      <c r="C153" s="977" t="s">
        <v>804</v>
      </c>
      <c r="D153" s="978" t="s">
        <v>685</v>
      </c>
      <c r="E153" s="979"/>
      <c r="F153" s="980"/>
      <c r="G153" s="999"/>
      <c r="H153" s="982"/>
      <c r="I153" s="982"/>
      <c r="J153" s="1053"/>
      <c r="K153" s="983">
        <v>670</v>
      </c>
      <c r="L153" s="984">
        <v>45536</v>
      </c>
      <c r="M153" s="986" t="s">
        <v>561</v>
      </c>
    </row>
    <row r="154" spans="1:15" ht="4.2" customHeight="1" thickBot="1">
      <c r="B154" s="999"/>
      <c r="C154" s="977"/>
      <c r="D154" s="978"/>
      <c r="E154" s="979"/>
      <c r="F154" s="980"/>
      <c r="G154" s="999"/>
      <c r="H154" s="1006"/>
      <c r="I154" s="1006"/>
      <c r="J154" s="1054"/>
      <c r="K154" s="1004"/>
      <c r="L154" s="984"/>
      <c r="M154" s="986"/>
    </row>
    <row r="155" spans="1:15" ht="18" customHeight="1">
      <c r="B155" s="973">
        <v>10</v>
      </c>
      <c r="C155" s="1013"/>
      <c r="D155" s="1014"/>
      <c r="E155" s="973"/>
      <c r="F155" s="973"/>
      <c r="G155" s="973"/>
      <c r="H155" s="973">
        <f>SUM(H156:H157)</f>
        <v>252.17</v>
      </c>
      <c r="I155" s="973">
        <f t="shared" ref="I155:K155" si="9">SUM(I156:I157)</f>
        <v>252.17</v>
      </c>
      <c r="J155" s="973">
        <f t="shared" si="9"/>
        <v>252.17</v>
      </c>
      <c r="K155" s="973">
        <f t="shared" si="9"/>
        <v>252.17</v>
      </c>
      <c r="L155" s="974"/>
      <c r="M155" s="975"/>
    </row>
    <row r="156" spans="1:15">
      <c r="B156" s="976" t="s">
        <v>196</v>
      </c>
      <c r="C156" s="977" t="s">
        <v>805</v>
      </c>
      <c r="D156" s="978" t="s">
        <v>552</v>
      </c>
      <c r="E156" s="979" t="s">
        <v>553</v>
      </c>
      <c r="F156" s="980" t="s">
        <v>554</v>
      </c>
      <c r="G156" s="1055" t="s">
        <v>806</v>
      </c>
      <c r="H156" s="982">
        <v>222.17</v>
      </c>
      <c r="I156" s="982">
        <v>222.17</v>
      </c>
      <c r="J156" s="982">
        <v>222.17</v>
      </c>
      <c r="K156" s="983">
        <v>222.17</v>
      </c>
      <c r="L156" s="1004"/>
      <c r="M156" s="985"/>
    </row>
    <row r="157" spans="1:15" ht="15" thickBot="1">
      <c r="B157" s="1056" t="s">
        <v>15</v>
      </c>
      <c r="C157" s="1057" t="s">
        <v>807</v>
      </c>
      <c r="D157" s="1058" t="s">
        <v>552</v>
      </c>
      <c r="E157" s="1059" t="s">
        <v>553</v>
      </c>
      <c r="F157" s="1060" t="s">
        <v>554</v>
      </c>
      <c r="G157" s="1061" t="s">
        <v>808</v>
      </c>
      <c r="H157" s="1062">
        <v>30</v>
      </c>
      <c r="I157" s="1062">
        <v>30</v>
      </c>
      <c r="J157" s="1062">
        <v>30</v>
      </c>
      <c r="K157" s="1063">
        <v>30</v>
      </c>
      <c r="L157" s="1064"/>
      <c r="M157" s="1065"/>
    </row>
    <row r="158" spans="1:15" ht="5.4" customHeight="1" thickBot="1">
      <c r="A158" s="987"/>
      <c r="B158" s="987"/>
      <c r="C158" s="987"/>
      <c r="D158" s="987"/>
      <c r="E158" s="987"/>
      <c r="F158" s="987"/>
      <c r="G158" s="987"/>
      <c r="H158" s="987"/>
      <c r="I158" s="987"/>
      <c r="J158" s="987"/>
      <c r="K158" s="987"/>
      <c r="L158" s="987"/>
      <c r="M158" s="987"/>
    </row>
    <row r="159" spans="1:15" ht="34.200000000000003" customHeight="1" thickBot="1">
      <c r="B159" s="1194" t="s">
        <v>809</v>
      </c>
      <c r="C159" s="1195"/>
      <c r="D159" s="1195"/>
      <c r="E159" s="1195"/>
      <c r="F159" s="1195"/>
      <c r="G159" s="1196"/>
      <c r="H159" s="1066">
        <f>+H13+H14+H15+H16+H17+H18-9.99+H19+H20+H21+H22+H32+H38-5.5+H39+H40+H49+H50+H51+H52-10+H53-2.52+H54-4+H55+H56+H57+H58+H59+H60+H61+H62+H63-9.87+H64+H65+H66+H67+H68+H69+H70+H71+H72+H94+H95+H96+H97-0.99+H98+H99+H100+H101-0.78+H102+H103+H104+H105-6+H106+H107+H108+H109+H110+H111+H112+H113+H114+H115+H116+H117+H118+H119+H120</f>
        <v>414.93</v>
      </c>
      <c r="I159" s="1066">
        <f>+I13+I14+I15+I16+I17+I18-9.99+I19+I20+I21+I22+I32+I38-5.5+I39+I40+I49+I50+I51+I52-10+I53-2.52+I54-4+I55+I56+I57+I58+I59+I60+I61+I62+I63-9.87+I64+I65+I66+I67+I68+I69+I70+I71+I72+I94+I95+I96+I97-0.99+I98+I99+I100+I101-0.78+I102+I103+I104+I105-6+I106+I107+I108+I109+I110+I111+I112+I113+I114+I115+I116+I117+I118+I119+I120</f>
        <v>452.03</v>
      </c>
      <c r="J159" s="1066">
        <f>+J13+J14+J15+J16+J17+J18-9.99+J19+J20+J21+J22+J32+J38-5.5+J39+J40+J49+J50+J51+J52-10+J53-2.52+J54-4+J55+J56+J57+J58+J59+J60+J61+J62+J63-9.87+J64+J65+J66+J67+J68+J69+J70+J71+J72+J94+J95+J96+J97-0.99+J98+J99+J100+J101-0.78+J102+J103+J104+J105-6+J106+J107+J108+J109+J110+J111+J112+J113+J114+J115+J116+J117+J118+J119+J120</f>
        <v>498.48999999999995</v>
      </c>
      <c r="K159" s="1067">
        <f>+K13+K14+K15+K16+K17+K18-9.99+K19+K20+K21+K22+K32+K38-5.5+K39+K40+K49+K50+K51+K52-10+K53-2.52+K54-4+K55+K56+K57+K58+K59+K60+K61+K62+K63-9.87+K64+K65+K66+K67+K68+K69+K70+K71-10+K72+K94+K95+K96+K97-0.99+K98+K99+K100+K101-0.78+K102+K103+K104+K105-6+K106+K107+K108+K109+K110+K111+K112+K113+K114+K115+K116+K117+K118+K119+K120</f>
        <v>546.42999999999995</v>
      </c>
      <c r="M159" s="844"/>
    </row>
    <row r="160" spans="1:15" ht="34.200000000000003" customHeight="1" thickBot="1">
      <c r="B160" s="1197" t="s">
        <v>810</v>
      </c>
      <c r="C160" s="1198"/>
      <c r="D160" s="1198"/>
      <c r="E160" s="1198"/>
      <c r="F160" s="1198"/>
      <c r="G160" s="1199"/>
      <c r="H160" s="1068">
        <f>+H7+H8+H9+H10+H11+H12+H18-10+H27+H28+H29+H30+H31+H35+H36+H37+H38-10+H43+H44+H45+H46+H47+H48+H52-10+H53-10+H54-10+H63-10+H83+H84+H85+H86+H87+H88+H89+H90+H91+H92+H93+H97-10+H101-10+H105-10+H130+H137+H138+H139+H144+H147+H148+H149+H150+H151+H152+H156+H157</f>
        <v>3271.6113930000001</v>
      </c>
      <c r="I160" s="1068">
        <f>+I7+I8+I9+I10+I11+I12+I18-10+I27+I28+I29+I30+I31+I35+I36+I37+I38-10+I43+I44+I45+I46+I47+I48+I52-10+I53-10+I54-10+I63-10+I83+I84+I85+I86+I87+I88+I89+I90+I91+I92+I93+I97-10+I101-10+I105-10+I130+I137+I138+I139+I144+I147+I148+I149+I150+I151+I152+I156+I157</f>
        <v>3166.7613930000002</v>
      </c>
      <c r="J160" s="1068">
        <f>+J7+J8+J9+J10+J11+J12+J18-10+J27+J28+J29+J30+J31+J35+J36+J37+J38-10+J43+J44+J45+J46+J47+J48+J52-10+J53-10+J54-10+J63-10+J83+J84+J85+J86+J87+J88+J89+J90+J91+J92+J93+J97-10+J101-10+J105-10+J130+J137+J138+J139+J144+J147+J148+J149+J150+J151+J152+J156+J157</f>
        <v>3314.231393</v>
      </c>
      <c r="K160" s="1069">
        <f>+K7+K8+K9+K10+K11+K12+K18-10+K27+K28+K29+K30+K31+K35+K36+K37+K38-10+K43+K44+K45+K46+K47+K48+K52-10+K53-10+K54-10+K63-10+K71-10+K83+K84+K85+K86+K87+K88+K89+K90+K91+K92+K93+K97-10+K101-10+K105-10+K130+K137+K138+K139+K144+K147+K148+K149+K150+K151+K152+K153+K156+K157</f>
        <v>4044.231393</v>
      </c>
      <c r="M160" s="844"/>
    </row>
    <row r="161" spans="2:13" ht="34.200000000000003" customHeight="1" thickBot="1">
      <c r="B161" s="1182" t="s">
        <v>811</v>
      </c>
      <c r="C161" s="1183"/>
      <c r="D161" s="1183"/>
      <c r="E161" s="1183"/>
      <c r="F161" s="1183"/>
      <c r="G161" s="1184"/>
      <c r="H161" s="1070">
        <f>+H159+H160</f>
        <v>3686.541393</v>
      </c>
      <c r="I161" s="1070">
        <f>+I159+I160</f>
        <v>3618.7913930000004</v>
      </c>
      <c r="J161" s="1070">
        <f>+J159+J160</f>
        <v>3812.7213929999998</v>
      </c>
      <c r="K161" s="1071">
        <f>+K159+K160</f>
        <v>4590.6613930000003</v>
      </c>
      <c r="M161" s="844"/>
    </row>
    <row r="162" spans="2:13" ht="34.200000000000003" customHeight="1" thickBot="1">
      <c r="B162" s="1185" t="s">
        <v>812</v>
      </c>
      <c r="C162" s="1186"/>
      <c r="D162" s="1186"/>
      <c r="E162" s="1186"/>
      <c r="F162" s="1186"/>
      <c r="G162" s="1187"/>
      <c r="H162" s="1066">
        <f>+H23+H24+H73+H74+H75+H76+H77+H78+H79+H80+H121+H122+H123+H124+H125+H126+H127+H131+H132+H133+H134+H140+H141</f>
        <v>45.283999999999999</v>
      </c>
      <c r="I162" s="1066">
        <f t="shared" ref="I162:K162" si="10">+I23+I24+I73+I74+I75+I76+I77+I78+I79+I80+I121+I122+I123+I124+I125+I126+I127+I131+I132+I133+I134+I140+I141</f>
        <v>52.323999999999998</v>
      </c>
      <c r="J162" s="1066">
        <f t="shared" si="10"/>
        <v>57.823999999999998</v>
      </c>
      <c r="K162" s="1066">
        <f t="shared" si="10"/>
        <v>71.97399999999999</v>
      </c>
      <c r="M162" s="844"/>
    </row>
    <row r="163" spans="2:13" ht="31.95" customHeight="1" thickBot="1">
      <c r="B163" s="1191" t="s">
        <v>813</v>
      </c>
      <c r="C163" s="1192"/>
      <c r="D163" s="1192"/>
      <c r="E163" s="1192"/>
      <c r="F163" s="1192"/>
      <c r="G163" s="1193"/>
      <c r="H163" s="1072">
        <f>+H161+H162</f>
        <v>3731.8253930000001</v>
      </c>
      <c r="I163" s="1072">
        <f>+I161+I162</f>
        <v>3671.1153930000005</v>
      </c>
      <c r="J163" s="1072">
        <f>+J161+J162</f>
        <v>3870.5453929999999</v>
      </c>
      <c r="K163" s="1073">
        <f>+K161+K162</f>
        <v>4662.6353930000005</v>
      </c>
      <c r="M163" s="844"/>
    </row>
    <row r="164" spans="2:13">
      <c r="M164" s="844"/>
    </row>
    <row r="165" spans="2:13">
      <c r="M165" s="844"/>
    </row>
    <row r="166" spans="2:13" ht="15.6">
      <c r="B166" s="1074" t="s">
        <v>814</v>
      </c>
      <c r="M166" s="844"/>
    </row>
    <row r="167" spans="2:13" ht="15.6">
      <c r="B167" s="1074" t="s">
        <v>815</v>
      </c>
      <c r="M167" s="844"/>
    </row>
    <row r="168" spans="2:13" ht="13.95" customHeight="1">
      <c r="B168" s="1074" t="s">
        <v>816</v>
      </c>
    </row>
    <row r="169" spans="2:13" ht="33" customHeight="1">
      <c r="B169" s="1074" t="s">
        <v>835</v>
      </c>
    </row>
    <row r="170" spans="2:13" ht="15.6">
      <c r="B170" s="1074" t="s">
        <v>817</v>
      </c>
    </row>
    <row r="171" spans="2:13">
      <c r="B171" s="1075"/>
    </row>
    <row r="182" spans="7:11">
      <c r="H182" s="1076"/>
    </row>
    <row r="183" spans="7:11">
      <c r="H183" s="1076"/>
    </row>
    <row r="184" spans="7:11">
      <c r="H184" s="1077"/>
    </row>
    <row r="186" spans="7:11">
      <c r="G186" s="1078"/>
      <c r="H186" s="1079"/>
    </row>
    <row r="187" spans="7:11">
      <c r="G187" s="1080"/>
      <c r="H187" s="1081"/>
    </row>
    <row r="190" spans="7:11" ht="21">
      <c r="H190" s="1082"/>
      <c r="I190" s="1082"/>
      <c r="J190" s="1082"/>
      <c r="K190" s="1083"/>
    </row>
    <row r="194" ht="7.2" customHeight="1"/>
    <row r="261" ht="12.6" customHeight="1"/>
  </sheetData>
  <mergeCells count="22">
    <mergeCell ref="B161:G161"/>
    <mergeCell ref="B162:G162"/>
    <mergeCell ref="Q41:T41"/>
    <mergeCell ref="B163:G163"/>
    <mergeCell ref="B159:G159"/>
    <mergeCell ref="B160:G160"/>
    <mergeCell ref="Q42:R42"/>
    <mergeCell ref="S42:T42"/>
    <mergeCell ref="Q83:R83"/>
    <mergeCell ref="S83:T83"/>
    <mergeCell ref="Q82:T82"/>
    <mergeCell ref="B2:M2"/>
    <mergeCell ref="C4:C5"/>
    <mergeCell ref="D4:D5"/>
    <mergeCell ref="E4:E5"/>
    <mergeCell ref="F4:F5"/>
    <mergeCell ref="H4:H5"/>
    <mergeCell ref="I4:I5"/>
    <mergeCell ref="J4:J5"/>
    <mergeCell ref="K4:K5"/>
    <mergeCell ref="L4:L5"/>
    <mergeCell ref="M4:M5"/>
  </mergeCells>
  <conditionalFormatting sqref="R84:R95">
    <cfRule type="cellIs" dxfId="65" priority="7" operator="equal">
      <formula>0</formula>
    </cfRule>
  </conditionalFormatting>
  <conditionalFormatting sqref="T84:T89">
    <cfRule type="cellIs" dxfId="64" priority="3" operator="equal">
      <formula>0</formula>
    </cfRule>
  </conditionalFormatting>
  <conditionalFormatting sqref="R43:R54">
    <cfRule type="cellIs" dxfId="63" priority="2" operator="equal">
      <formula>0</formula>
    </cfRule>
  </conditionalFormatting>
  <conditionalFormatting sqref="T43:T54">
    <cfRule type="cellIs" dxfId="62" priority="1" operator="equal">
      <formula>0</formula>
    </cfRule>
  </conditionalFormatting>
  <pageMargins left="0.7" right="0.7" top="0.75" bottom="0.75" header="0.3" footer="0.3"/>
  <pageSetup paperSize="5"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AT4 D Y C</vt:lpstr>
      <vt:lpstr>AT3 D Y C</vt:lpstr>
      <vt:lpstr>AT2 D Y C</vt:lpstr>
      <vt:lpstr>AT1 D Y C</vt:lpstr>
      <vt:lpstr>Cargos SOI</vt:lpstr>
      <vt:lpstr>IMP Existente</vt:lpstr>
      <vt:lpstr>IMP-SOI %</vt:lpstr>
      <vt:lpstr>Resumen Dem  Y Cap</vt:lpstr>
      <vt:lpstr>Capacidad Instalada (1 cuadro)</vt:lpstr>
      <vt:lpstr>Demanda Maxima</vt:lpstr>
      <vt:lpstr>Julio-Dic 2013</vt:lpstr>
      <vt:lpstr>Balance</vt:lpstr>
      <vt:lpstr>ipc</vt:lpstr>
      <vt:lpstr>IMP</vt:lpstr>
      <vt:lpstr>Datos fijos año 1 Real</vt:lpstr>
      <vt:lpstr>IMP Actualizado viejo</vt:lpstr>
      <vt:lpstr>'IMP Existente'!ActNetoHidro</vt:lpstr>
      <vt:lpstr>'Cargos SOI'!Área_de_impresión</vt:lpstr>
      <vt:lpstr>'Datos fijos año 1 Real'!Área_de_impresión</vt:lpstr>
      <vt:lpstr>'IMP Actualizado viejo'!Área_de_impresión</vt:lpstr>
      <vt:lpstr>'IMP-SOI %'!Área_de_impresión</vt:lpstr>
      <vt:lpstr>ipc!Área_de_impresión</vt:lpstr>
      <vt:lpstr>'IMP Existente'!RRT</vt:lpstr>
    </vt:vector>
  </TitlesOfParts>
  <Company>ETESA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Mrivera</dc:creator>
  <cp:lastModifiedBy>Enrique Hernandez Cárdenas</cp:lastModifiedBy>
  <cp:lastPrinted>2014-12-09T21:00:23Z</cp:lastPrinted>
  <dcterms:created xsi:type="dcterms:W3CDTF">2001-06-20T13:56:19Z</dcterms:created>
  <dcterms:modified xsi:type="dcterms:W3CDTF">2023-04-18T16:55:10Z</dcterms:modified>
</cp:coreProperties>
</file>